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G:\EDWI Reports\ADD's\2024 ADD\"/>
    </mc:Choice>
  </mc:AlternateContent>
  <xr:revisionPtr revIDLastSave="0" documentId="8_{B74DEB69-B93E-4FB8-97B5-E711EF9F0C94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Overall" sheetId="1" r:id="rId1"/>
    <sheet name="Aging" sheetId="2" state="hidden" r:id="rId2"/>
    <sheet name="Workforce" sheetId="3" state="hidden" r:id="rId3"/>
    <sheet name="Carryover (Reserves)" sheetId="4" state="hidden" r:id="rId4"/>
    <sheet name="Acronyn List" sheetId="5" state="hidden" r:id="rId5"/>
  </sheets>
  <definedNames>
    <definedName name="_xlnm.Print_Area" localSheetId="0">Overall!$A:$AZ</definedName>
    <definedName name="_xlnm.Print_Titles" localSheetId="1">Aging!$A:$A</definedName>
    <definedName name="_xlnm.Print_Titles" localSheetId="0">Overall!$A:$A</definedName>
    <definedName name="_xlnm.Print_Titles" localSheetId="2">Workforce!$A:$A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9" i="1" l="1"/>
  <c r="AO6" i="1"/>
  <c r="AO13" i="1" s="1"/>
  <c r="AN9" i="1"/>
  <c r="AN5" i="1"/>
  <c r="AN6" i="1"/>
  <c r="AN8" i="1" s="1"/>
  <c r="AK11" i="1"/>
  <c r="AK9" i="1"/>
  <c r="AK7" i="1"/>
  <c r="AM9" i="1"/>
  <c r="AM6" i="1"/>
  <c r="AM8" i="1" s="1"/>
  <c r="AG11" i="1"/>
  <c r="AG9" i="1"/>
  <c r="AI9" i="1"/>
  <c r="AI5" i="1"/>
  <c r="AI4" i="1"/>
  <c r="AL9" i="1"/>
  <c r="AL6" i="1"/>
  <c r="AL13" i="1" s="1"/>
  <c r="AH9" i="1"/>
  <c r="AH4" i="1"/>
  <c r="AJ9" i="1"/>
  <c r="AC11" i="1"/>
  <c r="AC9" i="1"/>
  <c r="AC4" i="1"/>
  <c r="AC5" i="1"/>
  <c r="AO10" i="1" l="1"/>
  <c r="AO8" i="1"/>
  <c r="AO12" i="1"/>
  <c r="AN10" i="1"/>
  <c r="AN13" i="1"/>
  <c r="AN12" i="1"/>
  <c r="AM12" i="1"/>
  <c r="AM10" i="1"/>
  <c r="AM13" i="1"/>
  <c r="AL8" i="1"/>
  <c r="AL10" i="1"/>
  <c r="AL12" i="1"/>
  <c r="AF9" i="1"/>
  <c r="AF6" i="1"/>
  <c r="AF12" i="1" s="1"/>
  <c r="AD4" i="1"/>
  <c r="AD9" i="1"/>
  <c r="AE11" i="1"/>
  <c r="AE9" i="1"/>
  <c r="AE4" i="1"/>
  <c r="AF10" i="1" l="1"/>
  <c r="AF8" i="1"/>
  <c r="AF13" i="1"/>
  <c r="AA9" i="1" l="1"/>
  <c r="AA5" i="1"/>
  <c r="AA4" i="1"/>
  <c r="AA6" i="1" l="1"/>
  <c r="AA13" i="1" s="1"/>
  <c r="Z9" i="1"/>
  <c r="Z4" i="1"/>
  <c r="Z6" i="1" s="1"/>
  <c r="AA10" i="1" l="1"/>
  <c r="AA8" i="1"/>
  <c r="AA12" i="1"/>
  <c r="Z10" i="1"/>
  <c r="Z12" i="1"/>
  <c r="Z13" i="1"/>
  <c r="Z8" i="1"/>
  <c r="X9" i="1" l="1"/>
  <c r="Y9" i="1" l="1"/>
  <c r="V9" i="1" l="1"/>
  <c r="W9" i="1" l="1"/>
  <c r="S4" i="1" l="1"/>
  <c r="R9" i="1" l="1"/>
  <c r="R5" i="1"/>
  <c r="R4" i="1"/>
  <c r="Q9" i="1" l="1"/>
  <c r="Q5" i="1"/>
  <c r="Q4" i="1"/>
  <c r="M4" i="1" l="1"/>
  <c r="P9" i="1" l="1"/>
  <c r="P5" i="1"/>
  <c r="P4" i="1"/>
  <c r="N4" i="1" l="1"/>
  <c r="N9" i="1"/>
  <c r="N5" i="1"/>
  <c r="J4" i="1" l="1"/>
  <c r="H4" i="1" l="1"/>
  <c r="H9" i="1"/>
  <c r="H5" i="1"/>
  <c r="G9" i="1" l="1"/>
  <c r="G4" i="1"/>
  <c r="E5" i="1" l="1"/>
  <c r="E4" i="1"/>
  <c r="D5" i="1" l="1"/>
  <c r="D4" i="1"/>
  <c r="C4" i="1" l="1"/>
  <c r="B9" i="1" l="1"/>
  <c r="B5" i="1"/>
  <c r="B4" i="1"/>
  <c r="V6" i="1" l="1"/>
  <c r="F6" i="1" l="1"/>
  <c r="F8" i="1" s="1"/>
  <c r="F10" i="1" l="1"/>
  <c r="F12" i="1"/>
  <c r="F13" i="1"/>
  <c r="T6" i="1" l="1"/>
  <c r="B24" i="2" l="1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4" i="2"/>
  <c r="U24" i="2"/>
  <c r="V24" i="2"/>
  <c r="W24" i="2"/>
  <c r="X24" i="2"/>
  <c r="T25" i="2"/>
  <c r="U25" i="2"/>
  <c r="V25" i="2"/>
  <c r="W25" i="2"/>
  <c r="X25" i="2"/>
  <c r="T26" i="2"/>
  <c r="U26" i="2"/>
  <c r="V26" i="2"/>
  <c r="W26" i="2"/>
  <c r="X26" i="2"/>
  <c r="M18" i="2" l="1"/>
  <c r="M16" i="2"/>
  <c r="B5" i="2"/>
  <c r="B7" i="2"/>
  <c r="F16" i="2" l="1"/>
  <c r="F18" i="2"/>
  <c r="F19" i="2"/>
  <c r="F20" i="2"/>
  <c r="F21" i="2"/>
  <c r="F22" i="2"/>
  <c r="C10" i="4" l="1"/>
  <c r="C9" i="4"/>
  <c r="S6" i="1"/>
  <c r="S12" i="1" s="1"/>
  <c r="S12" i="2" s="1"/>
  <c r="S4" i="2"/>
  <c r="S3" i="2"/>
  <c r="S5" i="2"/>
  <c r="S7" i="2"/>
  <c r="S11" i="2"/>
  <c r="S14" i="2"/>
  <c r="S16" i="2"/>
  <c r="S18" i="2"/>
  <c r="S19" i="2"/>
  <c r="S20" i="2"/>
  <c r="S21" i="2"/>
  <c r="S22" i="2"/>
  <c r="S28" i="2"/>
  <c r="S6" i="2" l="1"/>
  <c r="S8" i="1"/>
  <c r="S8" i="2" s="1"/>
  <c r="S10" i="1"/>
  <c r="S10" i="2" s="1"/>
  <c r="S13" i="1"/>
  <c r="S13" i="2" s="1"/>
  <c r="S9" i="2"/>
  <c r="Q6" i="1"/>
  <c r="Q6" i="2" s="1"/>
  <c r="Q3" i="2"/>
  <c r="Q4" i="2"/>
  <c r="Q5" i="2"/>
  <c r="Q7" i="2"/>
  <c r="Q9" i="2"/>
  <c r="Q11" i="2"/>
  <c r="Q14" i="2"/>
  <c r="Q16" i="2"/>
  <c r="Q18" i="2"/>
  <c r="Q19" i="2"/>
  <c r="Q20" i="2"/>
  <c r="Q21" i="2"/>
  <c r="Q22" i="2"/>
  <c r="Q28" i="2"/>
  <c r="F14" i="2"/>
  <c r="F28" i="2"/>
  <c r="F4" i="2"/>
  <c r="F5" i="2"/>
  <c r="F7" i="2"/>
  <c r="F9" i="2"/>
  <c r="F11" i="2"/>
  <c r="G6" i="1"/>
  <c r="G13" i="1" s="1"/>
  <c r="F13" i="2" s="1"/>
  <c r="F6" i="2" l="1"/>
  <c r="Q13" i="1"/>
  <c r="Q13" i="2" s="1"/>
  <c r="Q12" i="1"/>
  <c r="Q12" i="2" s="1"/>
  <c r="Q8" i="1"/>
  <c r="Q8" i="2" s="1"/>
  <c r="Q10" i="1"/>
  <c r="Q10" i="2" s="1"/>
  <c r="G10" i="1"/>
  <c r="F10" i="2" s="1"/>
  <c r="G12" i="1"/>
  <c r="F12" i="2" s="1"/>
  <c r="G8" i="1"/>
  <c r="F8" i="2" s="1"/>
  <c r="C13" i="4" l="1"/>
  <c r="C5" i="2" l="1"/>
  <c r="D5" i="2"/>
  <c r="E5" i="2"/>
  <c r="G5" i="2"/>
  <c r="H5" i="2"/>
  <c r="I5" i="2"/>
  <c r="J5" i="2"/>
  <c r="K5" i="2"/>
  <c r="L5" i="2"/>
  <c r="M5" i="2"/>
  <c r="N5" i="2"/>
  <c r="O5" i="2"/>
  <c r="P5" i="2"/>
  <c r="R5" i="2"/>
  <c r="T5" i="2"/>
  <c r="U5" i="2"/>
  <c r="V5" i="2"/>
  <c r="W5" i="2"/>
  <c r="X5" i="2"/>
  <c r="Y5" i="2"/>
  <c r="B6" i="1"/>
  <c r="B6" i="2" s="1"/>
  <c r="C5" i="3"/>
  <c r="D5" i="3"/>
  <c r="E5" i="3"/>
  <c r="F5" i="3"/>
  <c r="G5" i="3"/>
  <c r="B5" i="3"/>
  <c r="AT6" i="1"/>
  <c r="AT13" i="1" s="1"/>
  <c r="B13" i="3" s="1"/>
  <c r="A5" i="3"/>
  <c r="A6" i="3"/>
  <c r="A5" i="2"/>
  <c r="A6" i="2"/>
  <c r="C6" i="1"/>
  <c r="C10" i="1" s="1"/>
  <c r="C10" i="2" s="1"/>
  <c r="D6" i="1"/>
  <c r="D13" i="1" s="1"/>
  <c r="D13" i="2" s="1"/>
  <c r="E6" i="1"/>
  <c r="E12" i="1" s="1"/>
  <c r="E12" i="2" s="1"/>
  <c r="H6" i="1"/>
  <c r="H13" i="1" s="1"/>
  <c r="G13" i="2" s="1"/>
  <c r="I6" i="1"/>
  <c r="I10" i="1" s="1"/>
  <c r="H10" i="2" s="1"/>
  <c r="J6" i="1"/>
  <c r="I6" i="2" s="1"/>
  <c r="K6" i="1"/>
  <c r="J6" i="2" s="1"/>
  <c r="L6" i="1"/>
  <c r="L8" i="1" s="1"/>
  <c r="K8" i="2" s="1"/>
  <c r="M6" i="1"/>
  <c r="M8" i="2"/>
  <c r="N6" i="1"/>
  <c r="N10" i="1" s="1"/>
  <c r="N10" i="2" s="1"/>
  <c r="O6" i="1"/>
  <c r="O6" i="2" s="1"/>
  <c r="P6" i="1"/>
  <c r="R6" i="1"/>
  <c r="R8" i="1" s="1"/>
  <c r="R8" i="2" s="1"/>
  <c r="T10" i="1"/>
  <c r="T10" i="2" s="1"/>
  <c r="U6" i="1"/>
  <c r="U6" i="2" s="1"/>
  <c r="V13" i="1"/>
  <c r="V13" i="2" s="1"/>
  <c r="W6" i="1"/>
  <c r="W8" i="1" s="1"/>
  <c r="W8" i="2" s="1"/>
  <c r="X6" i="1"/>
  <c r="X10" i="1" s="1"/>
  <c r="X10" i="2" s="1"/>
  <c r="Y6" i="1"/>
  <c r="Y6" i="2" s="1"/>
  <c r="AB6" i="1"/>
  <c r="AB13" i="1" s="1"/>
  <c r="AC6" i="1"/>
  <c r="AC8" i="1" s="1"/>
  <c r="AD6" i="1"/>
  <c r="AD10" i="1" s="1"/>
  <c r="AE6" i="1"/>
  <c r="AE12" i="1" s="1"/>
  <c r="AG6" i="1"/>
  <c r="AG13" i="1" s="1"/>
  <c r="AH6" i="1"/>
  <c r="AH8" i="1" s="1"/>
  <c r="AI6" i="1"/>
  <c r="AI10" i="1" s="1"/>
  <c r="AJ6" i="1"/>
  <c r="AJ12" i="1" s="1"/>
  <c r="AK6" i="1"/>
  <c r="AK13" i="1" s="1"/>
  <c r="AP6" i="1"/>
  <c r="AP8" i="1" s="1"/>
  <c r="AQ6" i="1"/>
  <c r="AQ10" i="1" s="1"/>
  <c r="AR6" i="1"/>
  <c r="AR12" i="1" s="1"/>
  <c r="AS6" i="1"/>
  <c r="AS13" i="1" s="1"/>
  <c r="AU6" i="1"/>
  <c r="C6" i="3" s="1"/>
  <c r="AV6" i="1"/>
  <c r="AV12" i="1" s="1"/>
  <c r="D12" i="3" s="1"/>
  <c r="AW6" i="1"/>
  <c r="AW13" i="1" s="1"/>
  <c r="E13" i="3" s="1"/>
  <c r="AX6" i="1"/>
  <c r="AX8" i="1" s="1"/>
  <c r="F8" i="3" s="1"/>
  <c r="AY6" i="1"/>
  <c r="G6" i="3" s="1"/>
  <c r="AZ6" i="1"/>
  <c r="AZ12" i="1" s="1"/>
  <c r="C26" i="3"/>
  <c r="D26" i="3"/>
  <c r="E26" i="3"/>
  <c r="F26" i="3"/>
  <c r="G26" i="3"/>
  <c r="C27" i="3"/>
  <c r="D27" i="3"/>
  <c r="E27" i="3"/>
  <c r="F27" i="3"/>
  <c r="G27" i="3"/>
  <c r="C28" i="3"/>
  <c r="D28" i="3"/>
  <c r="E28" i="3"/>
  <c r="F28" i="3"/>
  <c r="G28" i="3"/>
  <c r="C29" i="3"/>
  <c r="D29" i="3"/>
  <c r="E29" i="3"/>
  <c r="F29" i="3"/>
  <c r="G29" i="3"/>
  <c r="C30" i="3"/>
  <c r="D30" i="3"/>
  <c r="E30" i="3"/>
  <c r="F30" i="3"/>
  <c r="G30" i="3"/>
  <c r="B27" i="3"/>
  <c r="B28" i="3"/>
  <c r="B29" i="3"/>
  <c r="B30" i="3"/>
  <c r="B26" i="3"/>
  <c r="A26" i="3"/>
  <c r="G24" i="3"/>
  <c r="F24" i="3"/>
  <c r="E24" i="3"/>
  <c r="D24" i="3"/>
  <c r="C24" i="3"/>
  <c r="B24" i="3"/>
  <c r="A24" i="3"/>
  <c r="A32" i="3"/>
  <c r="A33" i="3"/>
  <c r="A34" i="3"/>
  <c r="G36" i="3"/>
  <c r="F36" i="3"/>
  <c r="E36" i="3"/>
  <c r="D36" i="3"/>
  <c r="C36" i="3"/>
  <c r="B36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6" i="3"/>
  <c r="F16" i="3"/>
  <c r="E16" i="3"/>
  <c r="D16" i="3"/>
  <c r="C16" i="3"/>
  <c r="B16" i="3"/>
  <c r="G14" i="3"/>
  <c r="F14" i="3"/>
  <c r="E14" i="3"/>
  <c r="D14" i="3"/>
  <c r="C14" i="3"/>
  <c r="B14" i="3"/>
  <c r="G11" i="3"/>
  <c r="F11" i="3"/>
  <c r="E11" i="3"/>
  <c r="D11" i="3"/>
  <c r="C11" i="3"/>
  <c r="B11" i="3"/>
  <c r="G9" i="3"/>
  <c r="F9" i="3"/>
  <c r="E9" i="3"/>
  <c r="D9" i="3"/>
  <c r="C9" i="3"/>
  <c r="B9" i="3"/>
  <c r="G7" i="3"/>
  <c r="F7" i="3"/>
  <c r="E7" i="3"/>
  <c r="D7" i="3"/>
  <c r="C7" i="3"/>
  <c r="B7" i="3"/>
  <c r="G4" i="3"/>
  <c r="F4" i="3"/>
  <c r="E4" i="3"/>
  <c r="D4" i="3"/>
  <c r="C4" i="3"/>
  <c r="B4" i="3"/>
  <c r="Y28" i="2"/>
  <c r="X28" i="2"/>
  <c r="W28" i="2"/>
  <c r="V28" i="2"/>
  <c r="U28" i="2"/>
  <c r="T28" i="2"/>
  <c r="R28" i="2"/>
  <c r="P28" i="2"/>
  <c r="O28" i="2"/>
  <c r="N28" i="2"/>
  <c r="M28" i="2"/>
  <c r="L28" i="2"/>
  <c r="K28" i="2"/>
  <c r="J28" i="2"/>
  <c r="I28" i="2"/>
  <c r="H28" i="2"/>
  <c r="G28" i="2"/>
  <c r="E28" i="2"/>
  <c r="D28" i="2"/>
  <c r="C28" i="2"/>
  <c r="B28" i="2"/>
  <c r="Y26" i="2"/>
  <c r="Y25" i="2"/>
  <c r="Y24" i="2"/>
  <c r="Y22" i="2"/>
  <c r="X22" i="2"/>
  <c r="W22" i="2"/>
  <c r="V22" i="2"/>
  <c r="U22" i="2"/>
  <c r="T22" i="2"/>
  <c r="R22" i="2"/>
  <c r="P22" i="2"/>
  <c r="O22" i="2"/>
  <c r="N22" i="2"/>
  <c r="M22" i="2"/>
  <c r="L22" i="2"/>
  <c r="K22" i="2"/>
  <c r="J22" i="2"/>
  <c r="I22" i="2"/>
  <c r="H22" i="2"/>
  <c r="G22" i="2"/>
  <c r="E22" i="2"/>
  <c r="D22" i="2"/>
  <c r="C22" i="2"/>
  <c r="Y21" i="2"/>
  <c r="X21" i="2"/>
  <c r="W21" i="2"/>
  <c r="V21" i="2"/>
  <c r="U21" i="2"/>
  <c r="T21" i="2"/>
  <c r="R21" i="2"/>
  <c r="P21" i="2"/>
  <c r="O21" i="2"/>
  <c r="N21" i="2"/>
  <c r="M21" i="2"/>
  <c r="L21" i="2"/>
  <c r="K21" i="2"/>
  <c r="J21" i="2"/>
  <c r="I21" i="2"/>
  <c r="H21" i="2"/>
  <c r="E21" i="2"/>
  <c r="D21" i="2"/>
  <c r="C21" i="2"/>
  <c r="B21" i="2"/>
  <c r="Y20" i="2"/>
  <c r="X20" i="2"/>
  <c r="W20" i="2"/>
  <c r="V20" i="2"/>
  <c r="U20" i="2"/>
  <c r="T20" i="2"/>
  <c r="R20" i="2"/>
  <c r="P20" i="2"/>
  <c r="O20" i="2"/>
  <c r="N20" i="2"/>
  <c r="M20" i="2"/>
  <c r="L20" i="2"/>
  <c r="K20" i="2"/>
  <c r="J20" i="2"/>
  <c r="I20" i="2"/>
  <c r="H20" i="2"/>
  <c r="G20" i="2"/>
  <c r="E20" i="2"/>
  <c r="D20" i="2"/>
  <c r="C20" i="2"/>
  <c r="B20" i="2"/>
  <c r="Y19" i="2"/>
  <c r="X19" i="2"/>
  <c r="W19" i="2"/>
  <c r="V19" i="2"/>
  <c r="U19" i="2"/>
  <c r="T19" i="2"/>
  <c r="R19" i="2"/>
  <c r="P19" i="2"/>
  <c r="O19" i="2"/>
  <c r="N19" i="2"/>
  <c r="M19" i="2"/>
  <c r="L19" i="2"/>
  <c r="K19" i="2"/>
  <c r="J19" i="2"/>
  <c r="I19" i="2"/>
  <c r="H19" i="2"/>
  <c r="G19" i="2"/>
  <c r="E19" i="2"/>
  <c r="D19" i="2"/>
  <c r="C19" i="2"/>
  <c r="B19" i="2"/>
  <c r="Y18" i="2"/>
  <c r="X18" i="2"/>
  <c r="W18" i="2"/>
  <c r="V18" i="2"/>
  <c r="U18" i="2"/>
  <c r="T18" i="2"/>
  <c r="R18" i="2"/>
  <c r="P18" i="2"/>
  <c r="O18" i="2"/>
  <c r="N18" i="2"/>
  <c r="L18" i="2"/>
  <c r="K18" i="2"/>
  <c r="J18" i="2"/>
  <c r="I18" i="2"/>
  <c r="H18" i="2"/>
  <c r="G18" i="2"/>
  <c r="E18" i="2"/>
  <c r="D18" i="2"/>
  <c r="C18" i="2"/>
  <c r="B18" i="2"/>
  <c r="Y16" i="2"/>
  <c r="X16" i="2"/>
  <c r="W16" i="2"/>
  <c r="V16" i="2"/>
  <c r="U16" i="2"/>
  <c r="T16" i="2"/>
  <c r="R16" i="2"/>
  <c r="P16" i="2"/>
  <c r="O16" i="2"/>
  <c r="N16" i="2"/>
  <c r="L16" i="2"/>
  <c r="K16" i="2"/>
  <c r="J16" i="2"/>
  <c r="I16" i="2"/>
  <c r="H16" i="2"/>
  <c r="G16" i="2"/>
  <c r="E16" i="2"/>
  <c r="D16" i="2"/>
  <c r="C16" i="2"/>
  <c r="B16" i="2"/>
  <c r="Y14" i="2"/>
  <c r="X14" i="2"/>
  <c r="W14" i="2"/>
  <c r="V14" i="2"/>
  <c r="U14" i="2"/>
  <c r="T14" i="2"/>
  <c r="R14" i="2"/>
  <c r="P14" i="2"/>
  <c r="O14" i="2"/>
  <c r="N14" i="2"/>
  <c r="M14" i="2"/>
  <c r="L14" i="2"/>
  <c r="K14" i="2"/>
  <c r="J14" i="2"/>
  <c r="I14" i="2"/>
  <c r="H14" i="2"/>
  <c r="G14" i="2"/>
  <c r="E14" i="2"/>
  <c r="D14" i="2"/>
  <c r="B14" i="2"/>
  <c r="Y11" i="2"/>
  <c r="X11" i="2"/>
  <c r="W11" i="2"/>
  <c r="V11" i="2"/>
  <c r="U11" i="2"/>
  <c r="T11" i="2"/>
  <c r="R11" i="2"/>
  <c r="P11" i="2"/>
  <c r="O11" i="2"/>
  <c r="N11" i="2"/>
  <c r="M11" i="2"/>
  <c r="L11" i="2"/>
  <c r="K11" i="2"/>
  <c r="J11" i="2"/>
  <c r="I11" i="2"/>
  <c r="H11" i="2"/>
  <c r="G11" i="2"/>
  <c r="E11" i="2"/>
  <c r="D11" i="2"/>
  <c r="C11" i="2"/>
  <c r="B11" i="2"/>
  <c r="Y9" i="2"/>
  <c r="X9" i="2"/>
  <c r="W9" i="2"/>
  <c r="V9" i="2"/>
  <c r="U9" i="2"/>
  <c r="T9" i="2"/>
  <c r="R9" i="2"/>
  <c r="P9" i="2"/>
  <c r="O9" i="2"/>
  <c r="N9" i="2"/>
  <c r="M9" i="2"/>
  <c r="L9" i="2"/>
  <c r="K9" i="2"/>
  <c r="J9" i="2"/>
  <c r="I9" i="2"/>
  <c r="H9" i="2"/>
  <c r="G9" i="2"/>
  <c r="E9" i="2"/>
  <c r="D9" i="2"/>
  <c r="C9" i="2"/>
  <c r="B9" i="2"/>
  <c r="Y7" i="2"/>
  <c r="X7" i="2"/>
  <c r="W7" i="2"/>
  <c r="V7" i="2"/>
  <c r="U7" i="2"/>
  <c r="T7" i="2"/>
  <c r="R7" i="2"/>
  <c r="P7" i="2"/>
  <c r="O7" i="2"/>
  <c r="N7" i="2"/>
  <c r="M7" i="2"/>
  <c r="L7" i="2"/>
  <c r="K7" i="2"/>
  <c r="J7" i="2"/>
  <c r="I7" i="2"/>
  <c r="H7" i="2"/>
  <c r="G7" i="2"/>
  <c r="E7" i="2"/>
  <c r="D7" i="2"/>
  <c r="C7" i="2"/>
  <c r="Y4" i="2"/>
  <c r="X4" i="2"/>
  <c r="W4" i="2"/>
  <c r="V4" i="2"/>
  <c r="U4" i="2"/>
  <c r="T4" i="2"/>
  <c r="R4" i="2"/>
  <c r="P4" i="2"/>
  <c r="O4" i="2"/>
  <c r="N4" i="2"/>
  <c r="M4" i="2"/>
  <c r="L4" i="2"/>
  <c r="K4" i="2"/>
  <c r="J4" i="2"/>
  <c r="I4" i="2"/>
  <c r="H4" i="2"/>
  <c r="G4" i="2"/>
  <c r="E4" i="2"/>
  <c r="D4" i="2"/>
  <c r="C4" i="2"/>
  <c r="B4" i="2"/>
  <c r="C14" i="2"/>
  <c r="Y3" i="2"/>
  <c r="C3" i="2"/>
  <c r="D3" i="2"/>
  <c r="E3" i="2"/>
  <c r="G3" i="2"/>
  <c r="H3" i="2"/>
  <c r="I3" i="2"/>
  <c r="J3" i="2"/>
  <c r="K3" i="2"/>
  <c r="L3" i="2"/>
  <c r="M3" i="2"/>
  <c r="N3" i="2"/>
  <c r="O3" i="2"/>
  <c r="P3" i="2"/>
  <c r="R3" i="2"/>
  <c r="T3" i="2"/>
  <c r="U3" i="2"/>
  <c r="V3" i="2"/>
  <c r="W3" i="2"/>
  <c r="X3" i="2"/>
  <c r="B3" i="2"/>
  <c r="A28" i="2"/>
  <c r="A25" i="2"/>
  <c r="A26" i="2"/>
  <c r="A24" i="2"/>
  <c r="A18" i="2"/>
  <c r="A16" i="2"/>
  <c r="A14" i="2"/>
  <c r="A13" i="2"/>
  <c r="A12" i="2"/>
  <c r="A7" i="2"/>
  <c r="A8" i="2"/>
  <c r="A9" i="2"/>
  <c r="A10" i="2"/>
  <c r="A11" i="2"/>
  <c r="A4" i="2"/>
  <c r="A36" i="3"/>
  <c r="A18" i="3"/>
  <c r="A16" i="3"/>
  <c r="A13" i="3"/>
  <c r="A14" i="3"/>
  <c r="A7" i="3"/>
  <c r="A8" i="3"/>
  <c r="A9" i="3"/>
  <c r="A10" i="3"/>
  <c r="A11" i="3"/>
  <c r="A12" i="3"/>
  <c r="A4" i="3"/>
  <c r="C3" i="3"/>
  <c r="D3" i="3"/>
  <c r="E3" i="3"/>
  <c r="F3" i="3"/>
  <c r="G3" i="3"/>
  <c r="B3" i="3"/>
  <c r="M13" i="1" l="1"/>
  <c r="L13" i="2" s="1"/>
  <c r="M10" i="1"/>
  <c r="M12" i="1"/>
  <c r="L12" i="2" s="1"/>
  <c r="P13" i="1"/>
  <c r="P13" i="2" s="1"/>
  <c r="B10" i="1"/>
  <c r="B10" i="2" s="1"/>
  <c r="B8" i="1"/>
  <c r="B8" i="2" s="1"/>
  <c r="B12" i="1"/>
  <c r="B12" i="2" s="1"/>
  <c r="AT8" i="1"/>
  <c r="B8" i="3" s="1"/>
  <c r="AT10" i="1"/>
  <c r="B10" i="3" s="1"/>
  <c r="AT12" i="1"/>
  <c r="B12" i="3" s="1"/>
  <c r="Y8" i="1"/>
  <c r="Y8" i="2" s="1"/>
  <c r="I8" i="1"/>
  <c r="H8" i="2" s="1"/>
  <c r="AR8" i="1"/>
  <c r="U8" i="1"/>
  <c r="U8" i="2" s="1"/>
  <c r="AZ8" i="1"/>
  <c r="AJ8" i="1"/>
  <c r="O8" i="1"/>
  <c r="O8" i="2" s="1"/>
  <c r="AV8" i="1"/>
  <c r="D8" i="3" s="1"/>
  <c r="AE8" i="1"/>
  <c r="AW8" i="1"/>
  <c r="E8" i="3" s="1"/>
  <c r="AS8" i="1"/>
  <c r="AK8" i="1"/>
  <c r="AG8" i="1"/>
  <c r="AB8" i="1"/>
  <c r="V8" i="1"/>
  <c r="V8" i="2" s="1"/>
  <c r="P8" i="1"/>
  <c r="P8" i="2" s="1"/>
  <c r="M8" i="1"/>
  <c r="L8" i="2" s="1"/>
  <c r="K8" i="1"/>
  <c r="J8" i="2" s="1"/>
  <c r="AX10" i="1"/>
  <c r="F10" i="3" s="1"/>
  <c r="AP10" i="1"/>
  <c r="AH10" i="1"/>
  <c r="AC10" i="1"/>
  <c r="W10" i="1"/>
  <c r="W10" i="2" s="1"/>
  <c r="R10" i="1"/>
  <c r="R10" i="2" s="1"/>
  <c r="M10" i="2"/>
  <c r="L10" i="1"/>
  <c r="K10" i="2" s="1"/>
  <c r="AY12" i="1"/>
  <c r="G12" i="3" s="1"/>
  <c r="AU12" i="1"/>
  <c r="C12" i="3" s="1"/>
  <c r="AQ12" i="1"/>
  <c r="AI12" i="1"/>
  <c r="AD12" i="1"/>
  <c r="X12" i="1"/>
  <c r="X12" i="2" s="1"/>
  <c r="T12" i="1"/>
  <c r="T12" i="2" s="1"/>
  <c r="N12" i="1"/>
  <c r="N12" i="2" s="1"/>
  <c r="AZ13" i="1"/>
  <c r="AV13" i="1"/>
  <c r="D13" i="3" s="1"/>
  <c r="AR13" i="1"/>
  <c r="AJ13" i="1"/>
  <c r="AE13" i="1"/>
  <c r="Y13" i="1"/>
  <c r="Y13" i="2" s="1"/>
  <c r="U13" i="1"/>
  <c r="U13" i="2" s="1"/>
  <c r="O13" i="1"/>
  <c r="O13" i="2" s="1"/>
  <c r="B6" i="3"/>
  <c r="F6" i="3"/>
  <c r="X6" i="2"/>
  <c r="T6" i="2"/>
  <c r="N6" i="2"/>
  <c r="H6" i="2"/>
  <c r="AW10" i="1"/>
  <c r="E10" i="3" s="1"/>
  <c r="AS10" i="1"/>
  <c r="AK10" i="1"/>
  <c r="AG10" i="1"/>
  <c r="AB10" i="1"/>
  <c r="V10" i="1"/>
  <c r="V10" i="2" s="1"/>
  <c r="P10" i="1"/>
  <c r="P10" i="2" s="1"/>
  <c r="L10" i="2"/>
  <c r="K10" i="1"/>
  <c r="J10" i="2" s="1"/>
  <c r="AX12" i="1"/>
  <c r="F12" i="3" s="1"/>
  <c r="AP12" i="1"/>
  <c r="AH12" i="1"/>
  <c r="AC12" i="1"/>
  <c r="W12" i="1"/>
  <c r="W12" i="2" s="1"/>
  <c r="R12" i="1"/>
  <c r="R12" i="2" s="1"/>
  <c r="M12" i="2"/>
  <c r="L12" i="1"/>
  <c r="K12" i="2" s="1"/>
  <c r="AY13" i="1"/>
  <c r="G13" i="3" s="1"/>
  <c r="AU13" i="1"/>
  <c r="C13" i="3" s="1"/>
  <c r="AQ13" i="1"/>
  <c r="AI13" i="1"/>
  <c r="AD13" i="1"/>
  <c r="X13" i="1"/>
  <c r="X13" i="2" s="1"/>
  <c r="T13" i="1"/>
  <c r="T13" i="2" s="1"/>
  <c r="N13" i="1"/>
  <c r="N13" i="2" s="1"/>
  <c r="E6" i="3"/>
  <c r="W6" i="2"/>
  <c r="R6" i="2"/>
  <c r="M6" i="2"/>
  <c r="AY8" i="1"/>
  <c r="G8" i="3" s="1"/>
  <c r="AU8" i="1"/>
  <c r="C8" i="3" s="1"/>
  <c r="AQ8" i="1"/>
  <c r="AI8" i="1"/>
  <c r="AD8" i="1"/>
  <c r="X8" i="1"/>
  <c r="X8" i="2" s="1"/>
  <c r="T8" i="1"/>
  <c r="T8" i="2" s="1"/>
  <c r="N8" i="1"/>
  <c r="N8" i="2" s="1"/>
  <c r="AZ10" i="1"/>
  <c r="AV10" i="1"/>
  <c r="D10" i="3" s="1"/>
  <c r="AR10" i="1"/>
  <c r="AJ10" i="1"/>
  <c r="AE10" i="1"/>
  <c r="Y10" i="1"/>
  <c r="Y10" i="2" s="1"/>
  <c r="U10" i="1"/>
  <c r="U10" i="2" s="1"/>
  <c r="O10" i="1"/>
  <c r="O10" i="2" s="1"/>
  <c r="J10" i="1"/>
  <c r="I10" i="2" s="1"/>
  <c r="AW12" i="1"/>
  <c r="E12" i="3" s="1"/>
  <c r="AS12" i="1"/>
  <c r="AK12" i="1"/>
  <c r="AG12" i="1"/>
  <c r="AB12" i="1"/>
  <c r="V12" i="1"/>
  <c r="V12" i="2" s="1"/>
  <c r="P12" i="1"/>
  <c r="P12" i="2" s="1"/>
  <c r="K12" i="1"/>
  <c r="J12" i="2" s="1"/>
  <c r="AX13" i="1"/>
  <c r="F13" i="3" s="1"/>
  <c r="AP13" i="1"/>
  <c r="AH13" i="1"/>
  <c r="AC13" i="1"/>
  <c r="W13" i="1"/>
  <c r="W13" i="2" s="1"/>
  <c r="R13" i="1"/>
  <c r="R13" i="2" s="1"/>
  <c r="M13" i="2"/>
  <c r="L13" i="1"/>
  <c r="K13" i="2" s="1"/>
  <c r="D6" i="3"/>
  <c r="V6" i="2"/>
  <c r="P6" i="2"/>
  <c r="L6" i="2"/>
  <c r="K6" i="2"/>
  <c r="AY10" i="1"/>
  <c r="G10" i="3" s="1"/>
  <c r="AU10" i="1"/>
  <c r="C10" i="3" s="1"/>
  <c r="Y12" i="1"/>
  <c r="Y12" i="2" s="1"/>
  <c r="U12" i="1"/>
  <c r="U12" i="2" s="1"/>
  <c r="O12" i="1"/>
  <c r="O12" i="2" s="1"/>
  <c r="B13" i="1"/>
  <c r="B13" i="2" s="1"/>
  <c r="K13" i="1"/>
  <c r="J13" i="2" s="1"/>
  <c r="J8" i="1"/>
  <c r="I8" i="2" s="1"/>
  <c r="J13" i="1"/>
  <c r="I13" i="2" s="1"/>
  <c r="J12" i="1"/>
  <c r="I12" i="2" s="1"/>
  <c r="I12" i="1"/>
  <c r="H12" i="2" s="1"/>
  <c r="I13" i="1"/>
  <c r="H13" i="2" s="1"/>
  <c r="H8" i="1"/>
  <c r="G8" i="2" s="1"/>
  <c r="H10" i="1"/>
  <c r="G10" i="2" s="1"/>
  <c r="H12" i="1"/>
  <c r="G12" i="2" s="1"/>
  <c r="G6" i="2"/>
  <c r="E8" i="1"/>
  <c r="E8" i="2" s="1"/>
  <c r="E13" i="1"/>
  <c r="E13" i="2" s="1"/>
  <c r="E6" i="2"/>
  <c r="E10" i="1"/>
  <c r="E10" i="2" s="1"/>
  <c r="D8" i="1"/>
  <c r="D8" i="2" s="1"/>
  <c r="D12" i="1"/>
  <c r="D12" i="2" s="1"/>
  <c r="D6" i="2"/>
  <c r="D10" i="1"/>
  <c r="D10" i="2" s="1"/>
  <c r="C8" i="1"/>
  <c r="C8" i="2" s="1"/>
  <c r="C6" i="2"/>
  <c r="C12" i="1"/>
  <c r="C12" i="2" s="1"/>
  <c r="C13" i="1"/>
  <c r="C13" i="2" s="1"/>
</calcChain>
</file>

<file path=xl/sharedStrings.xml><?xml version="1.0" encoding="utf-8"?>
<sst xmlns="http://schemas.openxmlformats.org/spreadsheetml/2006/main" count="288" uniqueCount="173">
  <si>
    <t>Administrative Costs</t>
  </si>
  <si>
    <t>% of Admin Cost</t>
  </si>
  <si>
    <t>Direct Expenditures</t>
  </si>
  <si>
    <t>% of Direct Expenditures</t>
  </si>
  <si>
    <t>Indirect Expenditures</t>
  </si>
  <si>
    <t>% of Indirect Expenditures</t>
  </si>
  <si>
    <t>Unexpended Funds</t>
  </si>
  <si>
    <t>Explanation of Unexpended Funds</t>
  </si>
  <si>
    <t>Eligible Persons</t>
  </si>
  <si>
    <t># Persons Served</t>
  </si>
  <si>
    <t># People on Waiting List</t>
  </si>
  <si>
    <t>Performance Measures</t>
  </si>
  <si>
    <t>Title III B</t>
  </si>
  <si>
    <t>Title III C1</t>
  </si>
  <si>
    <t>Title III C2</t>
  </si>
  <si>
    <t>Title III E</t>
  </si>
  <si>
    <t>Title VII Ombudsman</t>
  </si>
  <si>
    <t>Disability Resource Center</t>
  </si>
  <si>
    <t>FAST</t>
  </si>
  <si>
    <t>State Long Term Care Ombudsman</t>
  </si>
  <si>
    <t>Homecare</t>
  </si>
  <si>
    <t>SHIP</t>
  </si>
  <si>
    <t>Grant Award</t>
  </si>
  <si>
    <t>List of Direct Services provided by ADD</t>
  </si>
  <si>
    <t>Local Road Updates</t>
  </si>
  <si>
    <t>Regional Transportation</t>
  </si>
  <si>
    <t>Intermediary Relending Program</t>
  </si>
  <si>
    <t>Hazard Mitigation</t>
  </si>
  <si>
    <t>Neighborhood Stabilization Program</t>
  </si>
  <si>
    <t>Home GAP Financing</t>
  </si>
  <si>
    <t>Home Ownership Counseling</t>
  </si>
  <si>
    <t>Total amount of Reserves for FY 2017</t>
  </si>
  <si>
    <t>Source of Funds:</t>
  </si>
  <si>
    <t>Revolving Loan Fund</t>
  </si>
  <si>
    <t>Interest Earned on Investments</t>
  </si>
  <si>
    <t>Local Contributions</t>
  </si>
  <si>
    <t>Explanation as to why funds are being carried forward:</t>
  </si>
  <si>
    <t>As loans are repaid, funds are accumulated to make additional loans.</t>
  </si>
  <si>
    <t>Amount</t>
  </si>
  <si>
    <t>Funds will be utilized for match requirements and agency needs not directly allocable to specific programs</t>
  </si>
  <si>
    <t>Surplus from Performance Based Contracts</t>
  </si>
  <si>
    <t>Performance based contracts are fee for service and any funds not utilized is carried forward for future services.</t>
  </si>
  <si>
    <t>WIOA Adult</t>
  </si>
  <si>
    <t>WIOA Youth</t>
  </si>
  <si>
    <t>WIOA Dislocated Worker</t>
  </si>
  <si>
    <t>CACFP</t>
  </si>
  <si>
    <t>TRADE Adjustment Assistance</t>
  </si>
  <si>
    <t>Community &amp; Economic Development</t>
  </si>
  <si>
    <t>OET Power Grant</t>
  </si>
  <si>
    <t>DOL Direct USEC NEG Grant</t>
  </si>
  <si>
    <t>OET  Job Driven NEG Grant</t>
  </si>
  <si>
    <t>Multi-year Obligated Funds</t>
  </si>
  <si>
    <t>Training and Workforce Development</t>
  </si>
  <si>
    <t>Area Agency on Aging and Independent Living</t>
  </si>
  <si>
    <t>Program serves entire Pennyrile Region</t>
  </si>
  <si>
    <t>Direct Service Providers/Contractors Contracted by ADD and services provided</t>
  </si>
  <si>
    <t>Career Center Operators</t>
  </si>
  <si>
    <t>Training Service Providers and services provided</t>
  </si>
  <si>
    <t>Local Funds (Match or applied)</t>
  </si>
  <si>
    <t>Total Grant Funds</t>
  </si>
  <si>
    <t>Non Cash Pension Expense Adjustment to reflect agency's proportionate share of the net pension liability related to the County Employee Retirement System</t>
  </si>
  <si>
    <t>Title III D</t>
  </si>
  <si>
    <t>PCAP</t>
  </si>
  <si>
    <t>CM &amp; Assessment</t>
  </si>
  <si>
    <t>Coordination</t>
  </si>
  <si>
    <t>Coordination &amp; Evaluation</t>
  </si>
  <si>
    <t>Subsidy</t>
  </si>
  <si>
    <t>Benefits Counseling</t>
  </si>
  <si>
    <t>See Master Performance Measure Binder</t>
  </si>
  <si>
    <t>SHIP Training Funds</t>
  </si>
  <si>
    <t>DAIL Training Funds</t>
  </si>
  <si>
    <t>CASK/I&amp;A, outreach, transportation, telephone, public information</t>
  </si>
  <si>
    <t>KLA/legal assistance</t>
  </si>
  <si>
    <t>KLA/Ombudsman</t>
  </si>
  <si>
    <t>CASK/congregate meals delivery</t>
  </si>
  <si>
    <t>CASK/home delivered delivery</t>
  </si>
  <si>
    <t>Canteen/home delivered preparation</t>
  </si>
  <si>
    <t>Comfort Keepers/respite</t>
  </si>
  <si>
    <t>Guardian Medical/supplemental</t>
  </si>
  <si>
    <t>GA/frozen meal prep and delivery</t>
  </si>
  <si>
    <t>KLA/Benefits Counseling</t>
  </si>
  <si>
    <t>KLA/LIS, MSP applications</t>
  </si>
  <si>
    <t>N/A</t>
  </si>
  <si>
    <t>Barren River Area Development District</t>
  </si>
  <si>
    <t>Glossary &amp; Acronym List</t>
  </si>
  <si>
    <t>Congregate Meals</t>
  </si>
  <si>
    <t>Home Delivered Meals</t>
  </si>
  <si>
    <t>Disease Prevention</t>
  </si>
  <si>
    <t>Family Caregiver Program</t>
  </si>
  <si>
    <t>NSIP</t>
  </si>
  <si>
    <t>Nutrition Services Incentive Program</t>
  </si>
  <si>
    <t>CDSME</t>
  </si>
  <si>
    <t>Chronic Disease Self Management Education</t>
  </si>
  <si>
    <t>Functional Assessment Service Team</t>
  </si>
  <si>
    <t>State Health Insurance Assistance Program</t>
  </si>
  <si>
    <t>MIPPA SHIP</t>
  </si>
  <si>
    <t>Medicare Improvements for Patients and Providers Act State Health Insurance Assistance Program</t>
  </si>
  <si>
    <t>MIPPA AAA</t>
  </si>
  <si>
    <t>Medicare Improvements for Patients and Providers Act State Agencies on Aging</t>
  </si>
  <si>
    <t>MIPPA ADRC</t>
  </si>
  <si>
    <t>Medicare Improvements for Patients and Providers Act Aging and Disability Resource Center</t>
  </si>
  <si>
    <t>JFA - EDA</t>
  </si>
  <si>
    <t>Joint Funding Administration - Economic Development Administration</t>
  </si>
  <si>
    <t>JFA - CDBG</t>
  </si>
  <si>
    <t>Joint Funding Administration - Community Development Block Grants</t>
  </si>
  <si>
    <t>Supportive Services</t>
  </si>
  <si>
    <t>Title VII Elder Abuse</t>
  </si>
  <si>
    <t>Personal Care Attendant Program</t>
  </si>
  <si>
    <t>Title III B Ombudsman</t>
  </si>
  <si>
    <t xml:space="preserve">Joint Funding Administration - EDA </t>
  </si>
  <si>
    <t xml:space="preserve">Joint Funding Administration - ARC </t>
  </si>
  <si>
    <t>Joint Funding Administration - CDBG</t>
  </si>
  <si>
    <t>Regional Transit</t>
  </si>
  <si>
    <t>Water Planning</t>
  </si>
  <si>
    <t>Program serves entire Barren River Region</t>
  </si>
  <si>
    <t>Coordination/Technical Assistance</t>
  </si>
  <si>
    <t>CHC/Adult Day Health</t>
  </si>
  <si>
    <t>Golden Years/respite</t>
  </si>
  <si>
    <t>Caring with a Smile/respite</t>
  </si>
  <si>
    <t>Award runs from Sept - Aug</t>
  </si>
  <si>
    <t>Mom's Meals &amp; GA/waiting list clients meal prep &amp; delivery</t>
  </si>
  <si>
    <t>Runs from Oct - Sept</t>
  </si>
  <si>
    <t>Funds not needed</t>
  </si>
  <si>
    <t>Five Star/congregate meals preparation</t>
  </si>
  <si>
    <t>Five Star/home delivered preparation</t>
  </si>
  <si>
    <t>Five Star/food receipts</t>
  </si>
  <si>
    <t>Comfort Keepers /Homemaking, personal care, assisted transportation</t>
  </si>
  <si>
    <t>Comfort Keepers/homemaking, personal care, respite, escort</t>
  </si>
  <si>
    <t>At HomeCare/respite</t>
  </si>
  <si>
    <t>KLA had no clients that needed services</t>
  </si>
  <si>
    <t>ESMP</t>
  </si>
  <si>
    <t xml:space="preserve">CASK/home delivered &amp; congregate delivery </t>
  </si>
  <si>
    <t xml:space="preserve">Five Star/home delivered and congregate preparation </t>
  </si>
  <si>
    <t>Various pilot projects</t>
  </si>
  <si>
    <t>Esters/congregate meals preparation</t>
  </si>
  <si>
    <t>Barren YMCA/congregate meals delivery</t>
  </si>
  <si>
    <t>Park City/congregate meals delivery</t>
  </si>
  <si>
    <t>Mom's Meals/meal prep &amp; delivery</t>
  </si>
  <si>
    <t>CASK/Tai Chi &amp; bingocize</t>
  </si>
  <si>
    <t>WC/BG Parks &amp; rec/Drums Alive &amp; Silver Sneakers</t>
  </si>
  <si>
    <t>Barren Co YMCA/Silver Sneakers</t>
  </si>
  <si>
    <t>Auburn Sr Center/Drums Alive</t>
  </si>
  <si>
    <t>Pieces of Hope/On the Move</t>
  </si>
  <si>
    <t>Carpenter Center/Silver Sneakers</t>
  </si>
  <si>
    <t>Walk with Ease</t>
  </si>
  <si>
    <t>NSIP 7/1/23 to 9/30/23</t>
  </si>
  <si>
    <t>NSIP 10/1/23 to 6/30/24</t>
  </si>
  <si>
    <t>KY Caregiver</t>
  </si>
  <si>
    <t>MIPPA SHIP 7/1/23 to 8/31/23</t>
  </si>
  <si>
    <t>MIPPA SHIP 9/1/23 to 6/30/24</t>
  </si>
  <si>
    <t>MIPPA AAA 7/1/23 to 8/31/23</t>
  </si>
  <si>
    <t>No clients that needed services</t>
  </si>
  <si>
    <t>MIPPA AAA 9/1/23 to 6/30/24</t>
  </si>
  <si>
    <t>MIPPA ADRC 7/1/23 to 8/31/23</t>
  </si>
  <si>
    <t>MIPPA ADRC 9/1/23 to 6/30/24</t>
  </si>
  <si>
    <t>ADVC</t>
  </si>
  <si>
    <t>Too late in the year for more vaccine events</t>
  </si>
  <si>
    <t>INNU</t>
  </si>
  <si>
    <t>ARC Ready LDD</t>
  </si>
  <si>
    <t>Ends 6/30/25</t>
  </si>
  <si>
    <t>Safe Streets For All (SS4A)</t>
  </si>
  <si>
    <t>Ends 8/28/25</t>
  </si>
  <si>
    <t>BEAD</t>
  </si>
  <si>
    <t>Ends 8/1/26</t>
  </si>
  <si>
    <t>Disaster Resiliency Coordinator</t>
  </si>
  <si>
    <t>Ends 11/30/26</t>
  </si>
  <si>
    <t>BRIC</t>
  </si>
  <si>
    <t>Work completed and we could not change the line items to expend the remainder.</t>
  </si>
  <si>
    <t>Work completed and we could not change the line items to expend the remainder before the deadline.</t>
  </si>
  <si>
    <t>Budgeted for technical assistance work that was not ultimately requested.</t>
  </si>
  <si>
    <t>Staff oversight of the increased contract amount for FY 24.</t>
  </si>
  <si>
    <t xml:space="preserve"> ARPA funds expire 9/30/25; Used carryover funds from prior year before using regular funds.</t>
  </si>
  <si>
    <t xml:space="preserve"> ARPA funds expire 9/30/25; Used carryover funds frrom prior year before using regular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</si>
</sst>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/>
    <xf numFmtId="9" fontId="0" fillId="0" borderId="1" xfId="2" applyFont="1" applyBorder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 applyBorder="1"/>
    <xf numFmtId="44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6" xfId="1" applyFont="1" applyBorder="1"/>
    <xf numFmtId="44" fontId="0" fillId="0" borderId="3" xfId="1" applyFont="1" applyBorder="1"/>
    <xf numFmtId="44" fontId="0" fillId="0" borderId="4" xfId="1" applyFont="1" applyBorder="1"/>
    <xf numFmtId="44" fontId="0" fillId="0" borderId="5" xfId="1" applyFont="1" applyBorder="1"/>
    <xf numFmtId="9" fontId="0" fillId="0" borderId="1" xfId="2" applyFont="1" applyBorder="1" applyAlignment="1">
      <alignment wrapText="1"/>
    </xf>
    <xf numFmtId="9" fontId="0" fillId="0" borderId="0" xfId="2" applyFont="1"/>
    <xf numFmtId="44" fontId="0" fillId="0" borderId="1" xfId="1" applyFont="1" applyBorder="1" applyAlignment="1">
      <alignment horizontal="left" wrapText="1"/>
    </xf>
    <xf numFmtId="44" fontId="0" fillId="0" borderId="1" xfId="1" applyFont="1" applyBorder="1" applyAlignment="1">
      <alignment wrapText="1"/>
    </xf>
    <xf numFmtId="9" fontId="0" fillId="0" borderId="1" xfId="2" applyFont="1" applyBorder="1" applyAlignment="1">
      <alignment horizontal="center" wrapText="1"/>
    </xf>
    <xf numFmtId="44" fontId="0" fillId="0" borderId="1" xfId="0" applyNumberFormat="1" applyBorder="1" applyAlignment="1">
      <alignment horizontal="left" wrapText="1"/>
    </xf>
    <xf numFmtId="9" fontId="0" fillId="0" borderId="1" xfId="2" applyFont="1" applyBorder="1" applyAlignment="1">
      <alignment horizontal="left" wrapText="1"/>
    </xf>
    <xf numFmtId="44" fontId="0" fillId="0" borderId="5" xfId="1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5" borderId="1" xfId="0" applyFill="1" applyBorder="1"/>
    <xf numFmtId="9" fontId="0" fillId="0" borderId="1" xfId="2" applyFont="1" applyFill="1" applyBorder="1"/>
    <xf numFmtId="44" fontId="0" fillId="0" borderId="1" xfId="1" applyFont="1" applyFill="1" applyBorder="1"/>
    <xf numFmtId="44" fontId="0" fillId="0" borderId="1" xfId="1" applyFont="1" applyFill="1" applyBorder="1" applyAlignment="1">
      <alignment horizontal="center" wrapText="1"/>
    </xf>
    <xf numFmtId="44" fontId="0" fillId="0" borderId="1" xfId="1" applyFont="1" applyFill="1" applyBorder="1" applyAlignment="1">
      <alignment wrapText="1"/>
    </xf>
    <xf numFmtId="0" fontId="0" fillId="4" borderId="1" xfId="0" applyFill="1" applyBorder="1"/>
    <xf numFmtId="0" fontId="0" fillId="6" borderId="1" xfId="0" applyFill="1" applyBorder="1"/>
    <xf numFmtId="0" fontId="0" fillId="0" borderId="1" xfId="0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G18" sqref="AG18"/>
    </sheetView>
  </sheetViews>
  <sheetFormatPr defaultColWidth="8.85546875" defaultRowHeight="15" x14ac:dyDescent="0.25"/>
  <cols>
    <col min="1" max="1" width="28.85546875" style="1" customWidth="1"/>
    <col min="2" max="2" width="25.42578125" customWidth="1"/>
    <col min="3" max="3" width="23.42578125" customWidth="1"/>
    <col min="4" max="4" width="23.42578125" bestFit="1" customWidth="1"/>
    <col min="5" max="5" width="25.7109375" customWidth="1"/>
    <col min="6" max="6" width="25.7109375" hidden="1" customWidth="1"/>
    <col min="7" max="13" width="25.7109375" customWidth="1"/>
    <col min="14" max="14" width="26.42578125" customWidth="1"/>
    <col min="15" max="27" width="25.7109375" customWidth="1"/>
    <col min="28" max="28" width="25.7109375" hidden="1" customWidth="1"/>
    <col min="29" max="41" width="25.7109375" customWidth="1"/>
    <col min="42" max="52" width="25.7109375" hidden="1" customWidth="1"/>
  </cols>
  <sheetData>
    <row r="1" spans="1:52" ht="15.75" thickBot="1" x14ac:dyDescent="0.3"/>
    <row r="2" spans="1:52" ht="15.75" thickBot="1" x14ac:dyDescent="0.3">
      <c r="A2" s="32"/>
      <c r="B2" s="41" t="s">
        <v>53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3"/>
      <c r="AC2" s="47" t="s">
        <v>47</v>
      </c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9"/>
      <c r="AT2" s="50" t="s">
        <v>52</v>
      </c>
      <c r="AU2" s="51"/>
      <c r="AV2" s="51"/>
      <c r="AW2" s="51"/>
      <c r="AX2" s="51"/>
      <c r="AY2" s="51"/>
      <c r="AZ2" s="52"/>
    </row>
    <row r="3" spans="1:52" s="3" customFormat="1" ht="30" x14ac:dyDescent="0.25">
      <c r="A3" s="31"/>
      <c r="B3" s="31" t="s">
        <v>12</v>
      </c>
      <c r="C3" s="31" t="s">
        <v>108</v>
      </c>
      <c r="D3" s="31" t="s">
        <v>13</v>
      </c>
      <c r="E3" s="31" t="s">
        <v>14</v>
      </c>
      <c r="F3" s="31"/>
      <c r="G3" s="31" t="s">
        <v>61</v>
      </c>
      <c r="H3" s="31" t="s">
        <v>15</v>
      </c>
      <c r="I3" s="31" t="s">
        <v>106</v>
      </c>
      <c r="J3" s="31" t="s">
        <v>16</v>
      </c>
      <c r="K3" s="31" t="s">
        <v>146</v>
      </c>
      <c r="L3" s="31" t="s">
        <v>145</v>
      </c>
      <c r="M3" s="31" t="s">
        <v>17</v>
      </c>
      <c r="N3" s="31" t="s">
        <v>130</v>
      </c>
      <c r="O3" s="31" t="s">
        <v>19</v>
      </c>
      <c r="P3" s="31" t="s">
        <v>20</v>
      </c>
      <c r="Q3" s="31" t="s">
        <v>147</v>
      </c>
      <c r="R3" s="31" t="s">
        <v>21</v>
      </c>
      <c r="S3" s="31" t="s">
        <v>69</v>
      </c>
      <c r="T3" s="31" t="s">
        <v>149</v>
      </c>
      <c r="U3" s="31" t="s">
        <v>148</v>
      </c>
      <c r="V3" s="31" t="s">
        <v>152</v>
      </c>
      <c r="W3" s="31" t="s">
        <v>150</v>
      </c>
      <c r="X3" s="31" t="s">
        <v>154</v>
      </c>
      <c r="Y3" s="31" t="s">
        <v>153</v>
      </c>
      <c r="Z3" s="31" t="s">
        <v>155</v>
      </c>
      <c r="AA3" s="31" t="s">
        <v>157</v>
      </c>
      <c r="AB3" s="31" t="s">
        <v>45</v>
      </c>
      <c r="AC3" s="31" t="s">
        <v>109</v>
      </c>
      <c r="AD3" s="31" t="s">
        <v>110</v>
      </c>
      <c r="AE3" s="31" t="s">
        <v>111</v>
      </c>
      <c r="AF3" s="31" t="s">
        <v>158</v>
      </c>
      <c r="AG3" s="31" t="s">
        <v>24</v>
      </c>
      <c r="AH3" s="31" t="s">
        <v>25</v>
      </c>
      <c r="AI3" s="31" t="s">
        <v>112</v>
      </c>
      <c r="AJ3" s="31" t="s">
        <v>113</v>
      </c>
      <c r="AK3" s="31" t="s">
        <v>27</v>
      </c>
      <c r="AL3" s="31" t="s">
        <v>160</v>
      </c>
      <c r="AM3" s="31" t="s">
        <v>162</v>
      </c>
      <c r="AN3" s="31" t="s">
        <v>164</v>
      </c>
      <c r="AO3" s="31" t="s">
        <v>166</v>
      </c>
      <c r="AP3" s="31" t="s">
        <v>27</v>
      </c>
      <c r="AQ3" s="31" t="s">
        <v>28</v>
      </c>
      <c r="AR3" s="31" t="s">
        <v>29</v>
      </c>
      <c r="AS3" s="31" t="s">
        <v>30</v>
      </c>
      <c r="AT3" s="31" t="s">
        <v>42</v>
      </c>
      <c r="AU3" s="31" t="s">
        <v>44</v>
      </c>
      <c r="AV3" s="31" t="s">
        <v>43</v>
      </c>
      <c r="AW3" s="31" t="s">
        <v>46</v>
      </c>
      <c r="AX3" s="31" t="s">
        <v>50</v>
      </c>
      <c r="AY3" s="31" t="s">
        <v>48</v>
      </c>
      <c r="AZ3" s="31" t="s">
        <v>49</v>
      </c>
    </row>
    <row r="4" spans="1:52" s="4" customFormat="1" x14ac:dyDescent="0.25">
      <c r="A4" s="24" t="s">
        <v>22</v>
      </c>
      <c r="B4" s="36">
        <f>115453+37168+36849+292492+327696+309130.05+43986</f>
        <v>1162774.05</v>
      </c>
      <c r="C4" s="36">
        <f>93153+21556</f>
        <v>114709</v>
      </c>
      <c r="D4" s="36">
        <f>4575+25389+1525+433049+380578+252031+42374</f>
        <v>1139521</v>
      </c>
      <c r="E4" s="36">
        <f>5250+39982+1750+339806+75490+396731+21000</f>
        <v>880009</v>
      </c>
      <c r="F4" s="36"/>
      <c r="G4" s="36">
        <f>27920+20607+35154</f>
        <v>83681</v>
      </c>
      <c r="H4" s="36">
        <f>18000+12114+6000+175490+69402+81975+5550+10887+8225+2717+4450</f>
        <v>394810</v>
      </c>
      <c r="I4" s="36">
        <v>5611</v>
      </c>
      <c r="J4" s="36">
        <f>15022+2702+14345.21</f>
        <v>32069.21</v>
      </c>
      <c r="K4" s="36">
        <v>72546</v>
      </c>
      <c r="L4" s="36">
        <v>54685.7</v>
      </c>
      <c r="M4" s="36">
        <f>30000+30000</f>
        <v>60000</v>
      </c>
      <c r="N4" s="36">
        <f>84740+1190153</f>
        <v>1274893</v>
      </c>
      <c r="O4" s="36">
        <v>34742</v>
      </c>
      <c r="P4" s="36">
        <f>110384+964852</f>
        <v>1075236</v>
      </c>
      <c r="Q4" s="36">
        <f>8265+112647</f>
        <v>120912</v>
      </c>
      <c r="R4" s="36">
        <f>1800+42200</f>
        <v>44000</v>
      </c>
      <c r="S4" s="36">
        <f>15000+1000</f>
        <v>16000</v>
      </c>
      <c r="T4" s="36">
        <v>12428</v>
      </c>
      <c r="U4" s="36">
        <v>16147</v>
      </c>
      <c r="V4" s="36">
        <v>10777</v>
      </c>
      <c r="W4" s="36">
        <v>1949</v>
      </c>
      <c r="X4" s="36">
        <v>3858</v>
      </c>
      <c r="Y4" s="36">
        <v>2188</v>
      </c>
      <c r="Z4" s="4">
        <f>5000+72000</f>
        <v>77000</v>
      </c>
      <c r="AA4" s="4">
        <f>430+3871.72</f>
        <v>4301.7199999999993</v>
      </c>
      <c r="AC4" s="4">
        <f>92846.67+23211.67+61788.33+77039.85+49255</f>
        <v>304141.52</v>
      </c>
      <c r="AD4" s="4">
        <f>57225.16+13800.05+38699.95</f>
        <v>109725.16</v>
      </c>
      <c r="AE4" s="4">
        <f>17027.63+17027.63</f>
        <v>34055.26</v>
      </c>
      <c r="AF4" s="4">
        <v>100000</v>
      </c>
      <c r="AG4" s="4">
        <v>27200</v>
      </c>
      <c r="AH4" s="4">
        <f>83454</f>
        <v>83454</v>
      </c>
      <c r="AI4" s="4">
        <f>50164</f>
        <v>50164</v>
      </c>
      <c r="AJ4" s="4">
        <v>76000</v>
      </c>
      <c r="AK4" s="4">
        <v>250000</v>
      </c>
      <c r="AL4" s="4">
        <v>354834</v>
      </c>
      <c r="AM4" s="4">
        <v>45000</v>
      </c>
      <c r="AN4" s="4">
        <v>360000</v>
      </c>
      <c r="AO4" s="4">
        <v>15369</v>
      </c>
    </row>
    <row r="5" spans="1:52" s="4" customFormat="1" x14ac:dyDescent="0.25">
      <c r="A5" s="24" t="s">
        <v>58</v>
      </c>
      <c r="B5" s="36">
        <f>7603.9+37446.23+23474+2115</f>
        <v>70639.13</v>
      </c>
      <c r="C5" s="36">
        <v>26</v>
      </c>
      <c r="D5" s="36">
        <f>5371.4+99927+7500</f>
        <v>112798.39999999999</v>
      </c>
      <c r="E5" s="36">
        <f>1593.36+12866+70168+3975</f>
        <v>88602.36</v>
      </c>
      <c r="F5" s="36"/>
      <c r="G5" s="36">
        <v>0.05</v>
      </c>
      <c r="H5" s="36">
        <f>2697.61+50761.95+1616.44+50</f>
        <v>55126</v>
      </c>
      <c r="I5" s="36">
        <v>1972</v>
      </c>
      <c r="J5" s="36">
        <v>5900</v>
      </c>
      <c r="K5" s="36"/>
      <c r="L5" s="36"/>
      <c r="M5" s="36"/>
      <c r="N5" s="36">
        <f>0.31+25624.28+28395+9130</f>
        <v>63149.59</v>
      </c>
      <c r="O5" s="36">
        <v>10289</v>
      </c>
      <c r="P5" s="36">
        <f>11.03+55297.74</f>
        <v>55308.77</v>
      </c>
      <c r="Q5" s="36">
        <f>91.77+32.41</f>
        <v>124.17999999999999</v>
      </c>
      <c r="R5" s="36">
        <f>8.95+3142.5</f>
        <v>3151.45</v>
      </c>
      <c r="S5" s="36">
        <v>6.33</v>
      </c>
      <c r="T5" s="36"/>
      <c r="U5" s="36"/>
      <c r="V5" s="36">
        <v>0.99</v>
      </c>
      <c r="W5" s="36"/>
      <c r="X5" s="36">
        <v>0.48</v>
      </c>
      <c r="Y5" s="36">
        <v>22.3</v>
      </c>
      <c r="Z5" s="4">
        <v>20.77</v>
      </c>
      <c r="AA5" s="4">
        <f>4.2+142.57</f>
        <v>146.76999999999998</v>
      </c>
      <c r="AC5" s="4">
        <f>13.66+40.69</f>
        <v>54.349999999999994</v>
      </c>
      <c r="AD5" s="4">
        <v>6.96</v>
      </c>
      <c r="AE5" s="4">
        <v>181.09</v>
      </c>
      <c r="AH5" s="4">
        <v>9273</v>
      </c>
      <c r="AI5" s="4">
        <f>12621.17</f>
        <v>12621.17</v>
      </c>
      <c r="AJ5" s="4">
        <v>29.56</v>
      </c>
      <c r="AN5" s="4">
        <f>6608.26</f>
        <v>6608.26</v>
      </c>
    </row>
    <row r="6" spans="1:52" s="4" customFormat="1" x14ac:dyDescent="0.25">
      <c r="A6" s="24" t="s">
        <v>59</v>
      </c>
      <c r="B6" s="36">
        <f>SUM(B4:B5)</f>
        <v>1233413.1800000002</v>
      </c>
      <c r="C6" s="36">
        <f t="shared" ref="C6:AZ6" si="0">SUM(C4:C5)</f>
        <v>114735</v>
      </c>
      <c r="D6" s="36">
        <f t="shared" si="0"/>
        <v>1252319.3999999999</v>
      </c>
      <c r="E6" s="36">
        <f t="shared" si="0"/>
        <v>968611.36</v>
      </c>
      <c r="F6" s="36">
        <f t="shared" si="0"/>
        <v>0</v>
      </c>
      <c r="G6" s="36">
        <f t="shared" ref="G6" si="1">SUM(G4:G5)</f>
        <v>83681.05</v>
      </c>
      <c r="H6" s="36">
        <f t="shared" si="0"/>
        <v>449936</v>
      </c>
      <c r="I6" s="36">
        <f t="shared" si="0"/>
        <v>7583</v>
      </c>
      <c r="J6" s="36">
        <f t="shared" si="0"/>
        <v>37969.21</v>
      </c>
      <c r="K6" s="36">
        <f t="shared" si="0"/>
        <v>72546</v>
      </c>
      <c r="L6" s="36">
        <f t="shared" si="0"/>
        <v>54685.7</v>
      </c>
      <c r="M6" s="36">
        <f t="shared" si="0"/>
        <v>60000</v>
      </c>
      <c r="N6" s="36">
        <f t="shared" si="0"/>
        <v>1338042.5900000001</v>
      </c>
      <c r="O6" s="36">
        <f t="shared" si="0"/>
        <v>45031</v>
      </c>
      <c r="P6" s="36">
        <f t="shared" si="0"/>
        <v>1130544.77</v>
      </c>
      <c r="Q6" s="36">
        <f t="shared" ref="Q6" si="2">SUM(Q4:Q5)</f>
        <v>121036.18</v>
      </c>
      <c r="R6" s="36">
        <f t="shared" si="0"/>
        <v>47151.45</v>
      </c>
      <c r="S6" s="36">
        <f t="shared" si="0"/>
        <v>16006.33</v>
      </c>
      <c r="T6" s="36">
        <f t="shared" si="0"/>
        <v>12428</v>
      </c>
      <c r="U6" s="36">
        <f t="shared" si="0"/>
        <v>16147</v>
      </c>
      <c r="V6" s="36">
        <f t="shared" si="0"/>
        <v>10777.99</v>
      </c>
      <c r="W6" s="36">
        <f t="shared" si="0"/>
        <v>1949</v>
      </c>
      <c r="X6" s="36">
        <f t="shared" si="0"/>
        <v>3858.48</v>
      </c>
      <c r="Y6" s="36">
        <f t="shared" si="0"/>
        <v>2210.3000000000002</v>
      </c>
      <c r="Z6" s="4">
        <f t="shared" ref="Z6:AA6" si="3">SUM(Z4:Z5)</f>
        <v>77020.77</v>
      </c>
      <c r="AA6" s="4">
        <f t="shared" si="3"/>
        <v>4448.49</v>
      </c>
      <c r="AB6" s="4">
        <f t="shared" si="0"/>
        <v>0</v>
      </c>
      <c r="AC6" s="4">
        <f t="shared" si="0"/>
        <v>304195.87</v>
      </c>
      <c r="AD6" s="4">
        <f t="shared" si="0"/>
        <v>109732.12000000001</v>
      </c>
      <c r="AE6" s="4">
        <f t="shared" si="0"/>
        <v>34236.35</v>
      </c>
      <c r="AF6" s="4">
        <f t="shared" si="0"/>
        <v>100000</v>
      </c>
      <c r="AG6" s="4">
        <f t="shared" si="0"/>
        <v>27200</v>
      </c>
      <c r="AH6" s="4">
        <f t="shared" si="0"/>
        <v>92727</v>
      </c>
      <c r="AI6" s="4">
        <f t="shared" si="0"/>
        <v>62785.17</v>
      </c>
      <c r="AJ6" s="4">
        <f t="shared" si="0"/>
        <v>76029.56</v>
      </c>
      <c r="AK6" s="4">
        <f t="shared" si="0"/>
        <v>250000</v>
      </c>
      <c r="AL6" s="4">
        <f t="shared" ref="AL6:AN6" si="4">SUM(AL4:AL5)</f>
        <v>354834</v>
      </c>
      <c r="AM6" s="4">
        <f t="shared" si="4"/>
        <v>45000</v>
      </c>
      <c r="AN6" s="4">
        <f t="shared" si="4"/>
        <v>366608.26</v>
      </c>
      <c r="AO6" s="4">
        <f t="shared" ref="AO6" si="5">SUM(AO4:AO5)</f>
        <v>15369</v>
      </c>
      <c r="AP6" s="4">
        <f t="shared" si="0"/>
        <v>0</v>
      </c>
      <c r="AQ6" s="4">
        <f t="shared" si="0"/>
        <v>0</v>
      </c>
      <c r="AR6" s="4">
        <f t="shared" si="0"/>
        <v>0</v>
      </c>
      <c r="AS6" s="4">
        <f t="shared" si="0"/>
        <v>0</v>
      </c>
      <c r="AT6" s="4">
        <f t="shared" si="0"/>
        <v>0</v>
      </c>
      <c r="AU6" s="4">
        <f t="shared" si="0"/>
        <v>0</v>
      </c>
      <c r="AV6" s="4">
        <f t="shared" si="0"/>
        <v>0</v>
      </c>
      <c r="AW6" s="4">
        <f t="shared" si="0"/>
        <v>0</v>
      </c>
      <c r="AX6" s="4">
        <f t="shared" si="0"/>
        <v>0</v>
      </c>
      <c r="AY6" s="4">
        <f t="shared" si="0"/>
        <v>0</v>
      </c>
      <c r="AZ6" s="4">
        <f t="shared" si="0"/>
        <v>0</v>
      </c>
    </row>
    <row r="7" spans="1:52" s="6" customFormat="1" x14ac:dyDescent="0.25">
      <c r="A7" s="25" t="s">
        <v>0</v>
      </c>
      <c r="B7" s="35">
        <v>174464.9</v>
      </c>
      <c r="C7" s="35"/>
      <c r="D7" s="35">
        <v>27427.4</v>
      </c>
      <c r="E7" s="35">
        <v>13265.36</v>
      </c>
      <c r="F7" s="35"/>
      <c r="G7" s="35"/>
      <c r="H7" s="35">
        <v>34769.61</v>
      </c>
      <c r="I7" s="35"/>
      <c r="J7" s="35"/>
      <c r="K7" s="35"/>
      <c r="L7" s="35"/>
      <c r="M7" s="35"/>
      <c r="N7" s="35">
        <v>84740.31</v>
      </c>
      <c r="O7" s="35"/>
      <c r="P7" s="35">
        <v>110395.03</v>
      </c>
      <c r="Q7" s="35">
        <v>8356.77</v>
      </c>
      <c r="R7" s="35">
        <v>1808.95</v>
      </c>
      <c r="S7" s="35">
        <v>506.33</v>
      </c>
      <c r="T7" s="35"/>
      <c r="U7" s="35"/>
      <c r="V7" s="35"/>
      <c r="W7" s="35"/>
      <c r="X7" s="35"/>
      <c r="Y7" s="35"/>
      <c r="Z7" s="6">
        <v>5020.7700000000004</v>
      </c>
      <c r="AA7" s="6">
        <v>434.2</v>
      </c>
      <c r="AK7" s="6">
        <f>829.36</f>
        <v>829.36</v>
      </c>
    </row>
    <row r="8" spans="1:52" s="8" customFormat="1" x14ac:dyDescent="0.25">
      <c r="A8" s="22" t="s">
        <v>1</v>
      </c>
      <c r="B8" s="34">
        <f>B7/B6</f>
        <v>0.14144886955075345</v>
      </c>
      <c r="C8" s="34">
        <f t="shared" ref="C8:AZ8" si="6">C7/C6</f>
        <v>0</v>
      </c>
      <c r="D8" s="34">
        <f t="shared" si="6"/>
        <v>2.1901281733717456E-2</v>
      </c>
      <c r="E8" s="34">
        <f t="shared" si="6"/>
        <v>1.369523479468587E-2</v>
      </c>
      <c r="F8" s="34" t="e">
        <f t="shared" si="6"/>
        <v>#DIV/0!</v>
      </c>
      <c r="G8" s="34">
        <f t="shared" ref="G8" si="7">G7/G6</f>
        <v>0</v>
      </c>
      <c r="H8" s="34">
        <f t="shared" si="6"/>
        <v>7.7276790476867821E-2</v>
      </c>
      <c r="I8" s="34">
        <f t="shared" si="6"/>
        <v>0</v>
      </c>
      <c r="J8" s="34">
        <f t="shared" si="6"/>
        <v>0</v>
      </c>
      <c r="K8" s="34">
        <f t="shared" si="6"/>
        <v>0</v>
      </c>
      <c r="L8" s="34">
        <f t="shared" si="6"/>
        <v>0</v>
      </c>
      <c r="M8" s="34">
        <f t="shared" si="6"/>
        <v>0</v>
      </c>
      <c r="N8" s="34">
        <f t="shared" si="6"/>
        <v>6.3331549110107174E-2</v>
      </c>
      <c r="O8" s="34">
        <f t="shared" si="6"/>
        <v>0</v>
      </c>
      <c r="P8" s="34">
        <f t="shared" si="6"/>
        <v>9.7647641145604522E-2</v>
      </c>
      <c r="Q8" s="34">
        <f t="shared" ref="Q8" si="8">Q7/Q6</f>
        <v>6.9043570277911956E-2</v>
      </c>
      <c r="R8" s="34">
        <f t="shared" si="6"/>
        <v>3.8364673832936215E-2</v>
      </c>
      <c r="S8" s="34">
        <f t="shared" si="6"/>
        <v>3.1633110150796589E-2</v>
      </c>
      <c r="T8" s="34">
        <f t="shared" si="6"/>
        <v>0</v>
      </c>
      <c r="U8" s="34">
        <f t="shared" si="6"/>
        <v>0</v>
      </c>
      <c r="V8" s="34">
        <f t="shared" si="6"/>
        <v>0</v>
      </c>
      <c r="W8" s="34">
        <f t="shared" si="6"/>
        <v>0</v>
      </c>
      <c r="X8" s="34">
        <f t="shared" si="6"/>
        <v>0</v>
      </c>
      <c r="Y8" s="34">
        <f t="shared" si="6"/>
        <v>0</v>
      </c>
      <c r="Z8" s="8">
        <f t="shared" ref="Z8:AA8" si="9">Z7/Z6</f>
        <v>6.5187221576725352E-2</v>
      </c>
      <c r="AA8" s="8">
        <f t="shared" si="9"/>
        <v>9.7606153998323023E-2</v>
      </c>
      <c r="AB8" s="8" t="e">
        <f t="shared" si="6"/>
        <v>#DIV/0!</v>
      </c>
      <c r="AC8" s="8">
        <f t="shared" si="6"/>
        <v>0</v>
      </c>
      <c r="AD8" s="8">
        <f t="shared" si="6"/>
        <v>0</v>
      </c>
      <c r="AE8" s="8">
        <f t="shared" si="6"/>
        <v>0</v>
      </c>
      <c r="AF8" s="8">
        <f t="shared" si="6"/>
        <v>0</v>
      </c>
      <c r="AG8" s="8">
        <f t="shared" si="6"/>
        <v>0</v>
      </c>
      <c r="AH8" s="8">
        <f t="shared" si="6"/>
        <v>0</v>
      </c>
      <c r="AI8" s="8">
        <f t="shared" si="6"/>
        <v>0</v>
      </c>
      <c r="AJ8" s="8">
        <f t="shared" si="6"/>
        <v>0</v>
      </c>
      <c r="AK8" s="8">
        <f t="shared" si="6"/>
        <v>3.3174400000000001E-3</v>
      </c>
      <c r="AL8" s="8">
        <f t="shared" ref="AL8:AN8" si="10">AL7/AL6</f>
        <v>0</v>
      </c>
      <c r="AM8" s="8">
        <f t="shared" si="10"/>
        <v>0</v>
      </c>
      <c r="AN8" s="8">
        <f t="shared" si="10"/>
        <v>0</v>
      </c>
      <c r="AO8" s="8">
        <f t="shared" ref="AO8" si="11">AO7/AO6</f>
        <v>0</v>
      </c>
      <c r="AP8" s="8" t="e">
        <f t="shared" si="6"/>
        <v>#DIV/0!</v>
      </c>
      <c r="AQ8" s="8" t="e">
        <f t="shared" si="6"/>
        <v>#DIV/0!</v>
      </c>
      <c r="AR8" s="8" t="e">
        <f t="shared" si="6"/>
        <v>#DIV/0!</v>
      </c>
      <c r="AS8" s="8" t="e">
        <f t="shared" si="6"/>
        <v>#DIV/0!</v>
      </c>
      <c r="AT8" s="8" t="e">
        <f t="shared" si="6"/>
        <v>#DIV/0!</v>
      </c>
      <c r="AU8" s="8" t="e">
        <f t="shared" si="6"/>
        <v>#DIV/0!</v>
      </c>
      <c r="AV8" s="8" t="e">
        <f t="shared" si="6"/>
        <v>#DIV/0!</v>
      </c>
      <c r="AW8" s="8" t="e">
        <f t="shared" si="6"/>
        <v>#DIV/0!</v>
      </c>
      <c r="AX8" s="8" t="e">
        <f t="shared" si="6"/>
        <v>#DIV/0!</v>
      </c>
      <c r="AY8" s="8" t="e">
        <f t="shared" si="6"/>
        <v>#DIV/0!</v>
      </c>
      <c r="AZ8" s="8" t="e">
        <f t="shared" si="6"/>
        <v>#DIV/0!</v>
      </c>
    </row>
    <row r="9" spans="1:52" s="6" customFormat="1" x14ac:dyDescent="0.25">
      <c r="A9" s="25" t="s">
        <v>2</v>
      </c>
      <c r="B9" s="35">
        <f>814874.26-45386.63</f>
        <v>769487.63</v>
      </c>
      <c r="C9" s="35">
        <v>114735</v>
      </c>
      <c r="D9" s="35">
        <v>725105.88</v>
      </c>
      <c r="E9" s="35">
        <v>467065.39</v>
      </c>
      <c r="F9" s="35"/>
      <c r="G9" s="35">
        <f>39153.12-276.74</f>
        <v>38876.380000000005</v>
      </c>
      <c r="H9" s="35">
        <f>259367.13-12407.37</f>
        <v>246959.76</v>
      </c>
      <c r="I9" s="35">
        <v>7583</v>
      </c>
      <c r="J9" s="35">
        <v>37969.21</v>
      </c>
      <c r="K9" s="35">
        <v>54413</v>
      </c>
      <c r="L9" s="35">
        <v>54685.7</v>
      </c>
      <c r="M9" s="35">
        <v>60000</v>
      </c>
      <c r="N9" s="35">
        <f>1253302.28-58659.01</f>
        <v>1194643.27</v>
      </c>
      <c r="O9" s="35">
        <v>45031</v>
      </c>
      <c r="P9" s="35">
        <f>1020149.74-74482.97</f>
        <v>945666.77</v>
      </c>
      <c r="Q9" s="35">
        <f>112679.41-5313.73</f>
        <v>107365.68000000001</v>
      </c>
      <c r="R9" s="35">
        <f>45342.5-382.44</f>
        <v>44960.06</v>
      </c>
      <c r="S9" s="35">
        <v>11953.11</v>
      </c>
      <c r="T9" s="35">
        <v>940</v>
      </c>
      <c r="U9" s="35">
        <v>260</v>
      </c>
      <c r="V9" s="35">
        <f>3493.99-722.03</f>
        <v>2771.96</v>
      </c>
      <c r="W9" s="35">
        <f>1362.32-331.61</f>
        <v>1030.71</v>
      </c>
      <c r="X9" s="35">
        <f>2665.48-522.46</f>
        <v>2143.02</v>
      </c>
      <c r="Y9" s="35">
        <f>2210.3-556.9</f>
        <v>1653.4</v>
      </c>
      <c r="Z9" s="6">
        <f>50427.58-2376.74</f>
        <v>48050.840000000004</v>
      </c>
      <c r="AA9" s="6">
        <f>4014.29-604.56</f>
        <v>3409.73</v>
      </c>
      <c r="AC9" s="6">
        <f>177860.33-35006.99+77092.2-14554.48+49243.34-9203.97</f>
        <v>245430.42999999996</v>
      </c>
      <c r="AD9" s="6">
        <f>109732.12-20425.82</f>
        <v>89306.299999999988</v>
      </c>
      <c r="AE9" s="6">
        <f>34236.35-6398.35</f>
        <v>27838</v>
      </c>
      <c r="AF9" s="6">
        <f>39860.53-7542.59</f>
        <v>32317.94</v>
      </c>
      <c r="AG9" s="6">
        <f>3621.88-720.95+1360.88-252+1275.78-233.76+1479.86-275.18+1625.91-304.65+1932.04-347.48+1331.22-236.57+2413.66-461.2+4104.91-828.31+6187.37-1276.2</f>
        <v>20397.21</v>
      </c>
      <c r="AH9" s="6">
        <f>69993.72-12852.54</f>
        <v>57141.18</v>
      </c>
      <c r="AI9" s="6">
        <f>62785.17-6868.77</f>
        <v>55916.399999999994</v>
      </c>
      <c r="AJ9" s="6">
        <f>76029.56-14898.65</f>
        <v>61130.909999999996</v>
      </c>
      <c r="AK9" s="6">
        <f>4479.3-925.52</f>
        <v>3553.78</v>
      </c>
      <c r="AL9" s="6">
        <f>35123.84-1847.23</f>
        <v>33276.609999999993</v>
      </c>
      <c r="AM9" s="6">
        <f>33433.47-6773.9</f>
        <v>26659.57</v>
      </c>
      <c r="AN9" s="6">
        <f>33041.28-6555.94</f>
        <v>26485.34</v>
      </c>
      <c r="AO9" s="6">
        <f>13690.97-2817.85</f>
        <v>10873.119999999999</v>
      </c>
    </row>
    <row r="10" spans="1:52" s="8" customFormat="1" x14ac:dyDescent="0.25">
      <c r="A10" s="22" t="s">
        <v>3</v>
      </c>
      <c r="B10" s="34">
        <f>B9/B6</f>
        <v>0.62386849960529844</v>
      </c>
      <c r="C10" s="34">
        <f t="shared" ref="C10:AZ10" si="12">C9/C6</f>
        <v>1</v>
      </c>
      <c r="D10" s="34">
        <f t="shared" si="12"/>
        <v>0.57901033873626817</v>
      </c>
      <c r="E10" s="34">
        <f t="shared" si="12"/>
        <v>0.48220102436130835</v>
      </c>
      <c r="F10" s="34" t="e">
        <f t="shared" si="12"/>
        <v>#DIV/0!</v>
      </c>
      <c r="G10" s="34">
        <f t="shared" ref="G10" si="13">G9/G6</f>
        <v>0.46457806158025028</v>
      </c>
      <c r="H10" s="34">
        <f t="shared" si="12"/>
        <v>0.54887752924860422</v>
      </c>
      <c r="I10" s="34">
        <f t="shared" si="12"/>
        <v>1</v>
      </c>
      <c r="J10" s="34">
        <f t="shared" si="12"/>
        <v>1</v>
      </c>
      <c r="K10" s="34">
        <f t="shared" si="12"/>
        <v>0.75004824525128888</v>
      </c>
      <c r="L10" s="34">
        <f t="shared" si="12"/>
        <v>1</v>
      </c>
      <c r="M10" s="34">
        <f t="shared" si="12"/>
        <v>1</v>
      </c>
      <c r="N10" s="34">
        <f t="shared" si="12"/>
        <v>0.89282903169771299</v>
      </c>
      <c r="O10" s="34">
        <f t="shared" si="12"/>
        <v>1</v>
      </c>
      <c r="P10" s="34">
        <f t="shared" si="12"/>
        <v>0.83646998782719595</v>
      </c>
      <c r="Q10" s="34">
        <f t="shared" ref="Q10" si="14">Q9/Q6</f>
        <v>0.8870544328150477</v>
      </c>
      <c r="R10" s="34">
        <f t="shared" si="12"/>
        <v>0.95352444092387401</v>
      </c>
      <c r="S10" s="34">
        <f t="shared" si="12"/>
        <v>0.74677393256292979</v>
      </c>
      <c r="T10" s="34">
        <f t="shared" si="12"/>
        <v>7.5635661409719987E-2</v>
      </c>
      <c r="U10" s="34">
        <f t="shared" si="12"/>
        <v>1.6102062302594908E-2</v>
      </c>
      <c r="V10" s="34">
        <f t="shared" si="12"/>
        <v>0.25718710074884094</v>
      </c>
      <c r="W10" s="34">
        <f t="shared" si="12"/>
        <v>0.52884043099025146</v>
      </c>
      <c r="X10" s="34">
        <f t="shared" si="12"/>
        <v>0.55540523729551527</v>
      </c>
      <c r="Y10" s="34">
        <f t="shared" si="12"/>
        <v>0.74804325204723343</v>
      </c>
      <c r="Z10" s="8">
        <f t="shared" ref="Z10:AA10" si="15">Z9/Z6</f>
        <v>0.62386860063850313</v>
      </c>
      <c r="AA10" s="8">
        <f t="shared" si="15"/>
        <v>0.7664915510656426</v>
      </c>
      <c r="AB10" s="8" t="e">
        <f t="shared" si="12"/>
        <v>#DIV/0!</v>
      </c>
      <c r="AC10" s="8">
        <f t="shared" si="12"/>
        <v>0.80681710110002469</v>
      </c>
      <c r="AD10" s="8">
        <f t="shared" si="12"/>
        <v>0.81385741932261935</v>
      </c>
      <c r="AE10" s="8">
        <f t="shared" si="12"/>
        <v>0.81311237909415002</v>
      </c>
      <c r="AF10" s="8">
        <f t="shared" si="12"/>
        <v>0.32317940000000001</v>
      </c>
      <c r="AG10" s="8">
        <f t="shared" si="12"/>
        <v>0.74989742647058821</v>
      </c>
      <c r="AH10" s="8">
        <f t="shared" si="12"/>
        <v>0.61623022420654183</v>
      </c>
      <c r="AI10" s="8">
        <f>AI9/AI6</f>
        <v>0.89059884682959356</v>
      </c>
      <c r="AJ10" s="8">
        <f t="shared" si="12"/>
        <v>0.80404134918050296</v>
      </c>
      <c r="AK10" s="8">
        <f t="shared" si="12"/>
        <v>1.4215120000000001E-2</v>
      </c>
      <c r="AL10" s="8">
        <f t="shared" ref="AL10:AN10" si="16">AL9/AL6</f>
        <v>9.3780781999470153E-2</v>
      </c>
      <c r="AM10" s="8">
        <f t="shared" si="16"/>
        <v>0.59243488888888884</v>
      </c>
      <c r="AN10" s="8">
        <f t="shared" si="16"/>
        <v>7.2244253307331377E-2</v>
      </c>
      <c r="AO10" s="8">
        <f t="shared" ref="AO10" si="17">AO9/AO6</f>
        <v>0.70747088294619032</v>
      </c>
      <c r="AP10" s="8" t="e">
        <f t="shared" si="12"/>
        <v>#DIV/0!</v>
      </c>
      <c r="AQ10" s="8" t="e">
        <f t="shared" si="12"/>
        <v>#DIV/0!</v>
      </c>
      <c r="AR10" s="8" t="e">
        <f t="shared" si="12"/>
        <v>#DIV/0!</v>
      </c>
      <c r="AS10" s="8" t="e">
        <f t="shared" si="12"/>
        <v>#DIV/0!</v>
      </c>
      <c r="AT10" s="8" t="e">
        <f t="shared" si="12"/>
        <v>#DIV/0!</v>
      </c>
      <c r="AU10" s="8" t="e">
        <f t="shared" si="12"/>
        <v>#DIV/0!</v>
      </c>
      <c r="AV10" s="8" t="e">
        <f t="shared" si="12"/>
        <v>#DIV/0!</v>
      </c>
      <c r="AW10" s="8" t="e">
        <f t="shared" si="12"/>
        <v>#DIV/0!</v>
      </c>
      <c r="AX10" s="8" t="e">
        <f t="shared" si="12"/>
        <v>#DIV/0!</v>
      </c>
      <c r="AY10" s="8" t="e">
        <f t="shared" si="12"/>
        <v>#DIV/0!</v>
      </c>
      <c r="AZ10" s="8" t="e">
        <f t="shared" si="12"/>
        <v>#DIV/0!</v>
      </c>
    </row>
    <row r="11" spans="1:52" s="6" customFormat="1" x14ac:dyDescent="0.25">
      <c r="A11" s="25" t="s">
        <v>4</v>
      </c>
      <c r="B11" s="35">
        <v>45386.63</v>
      </c>
      <c r="C11" s="35"/>
      <c r="D11" s="35"/>
      <c r="E11" s="35"/>
      <c r="F11" s="35"/>
      <c r="G11" s="35">
        <v>276.74</v>
      </c>
      <c r="H11" s="35">
        <v>12407.37</v>
      </c>
      <c r="I11" s="35"/>
      <c r="J11" s="35"/>
      <c r="K11" s="35"/>
      <c r="L11" s="35"/>
      <c r="M11" s="35"/>
      <c r="N11" s="35">
        <v>58659.01</v>
      </c>
      <c r="O11" s="35"/>
      <c r="P11" s="35">
        <v>74482.97</v>
      </c>
      <c r="Q11" s="35">
        <v>5313.73</v>
      </c>
      <c r="R11" s="35">
        <v>382.44</v>
      </c>
      <c r="S11" s="35"/>
      <c r="T11" s="35"/>
      <c r="U11" s="35"/>
      <c r="V11" s="35">
        <v>722.03</v>
      </c>
      <c r="W11" s="35">
        <v>331.61</v>
      </c>
      <c r="X11" s="35">
        <v>522.46</v>
      </c>
      <c r="Y11" s="35">
        <v>556.9</v>
      </c>
      <c r="Z11" s="6">
        <v>2376.7399999999998</v>
      </c>
      <c r="AA11" s="6">
        <v>604.55999999999995</v>
      </c>
      <c r="AC11" s="6">
        <f>35006.99+14554.48+9203.97</f>
        <v>58765.440000000002</v>
      </c>
      <c r="AD11" s="6">
        <v>20425.82</v>
      </c>
      <c r="AE11" s="6">
        <f>6398.35</f>
        <v>6398.35</v>
      </c>
      <c r="AF11" s="6">
        <v>7542.59</v>
      </c>
      <c r="AG11" s="6">
        <f>720.95+252+233.76+275.18+304.65+347.48+236.57+461.2+828.31+1276.2</f>
        <v>4936.3</v>
      </c>
      <c r="AH11" s="6">
        <v>12852.54</v>
      </c>
      <c r="AI11" s="6">
        <v>6868.77</v>
      </c>
      <c r="AJ11" s="6">
        <v>14898.65</v>
      </c>
      <c r="AK11" s="6">
        <f>925.52</f>
        <v>925.52</v>
      </c>
      <c r="AL11" s="6">
        <v>1847.23</v>
      </c>
      <c r="AM11" s="6">
        <v>6773.9</v>
      </c>
      <c r="AN11" s="6">
        <v>6555.94</v>
      </c>
      <c r="AO11" s="6">
        <v>2817.85</v>
      </c>
    </row>
    <row r="12" spans="1:52" s="8" customFormat="1" ht="15.75" customHeight="1" x14ac:dyDescent="0.25">
      <c r="A12" s="22" t="s">
        <v>5</v>
      </c>
      <c r="B12" s="34">
        <f>B11/B6</f>
        <v>3.6797587974534203E-2</v>
      </c>
      <c r="C12" s="34">
        <f t="shared" ref="C12:AZ12" si="18">C11/C6</f>
        <v>0</v>
      </c>
      <c r="D12" s="34">
        <f t="shared" si="18"/>
        <v>0</v>
      </c>
      <c r="E12" s="34">
        <f t="shared" si="18"/>
        <v>0</v>
      </c>
      <c r="F12" s="34" t="e">
        <f t="shared" si="18"/>
        <v>#DIV/0!</v>
      </c>
      <c r="G12" s="34">
        <f t="shared" ref="G12" si="19">G11/G6</f>
        <v>3.3070808743437133E-3</v>
      </c>
      <c r="H12" s="34">
        <f t="shared" si="18"/>
        <v>2.7575855232744213E-2</v>
      </c>
      <c r="I12" s="34">
        <f t="shared" si="18"/>
        <v>0</v>
      </c>
      <c r="J12" s="34">
        <f t="shared" si="18"/>
        <v>0</v>
      </c>
      <c r="K12" s="34">
        <f t="shared" si="18"/>
        <v>0</v>
      </c>
      <c r="L12" s="34">
        <f t="shared" si="18"/>
        <v>0</v>
      </c>
      <c r="M12" s="34">
        <f>M11/M6</f>
        <v>0</v>
      </c>
      <c r="N12" s="34">
        <f t="shared" si="18"/>
        <v>4.3839419192179825E-2</v>
      </c>
      <c r="O12" s="34">
        <f t="shared" si="18"/>
        <v>0</v>
      </c>
      <c r="P12" s="34">
        <f t="shared" si="18"/>
        <v>6.5882371027199571E-2</v>
      </c>
      <c r="Q12" s="34">
        <f t="shared" ref="Q12" si="20">Q11/Q6</f>
        <v>4.3901996907040525E-2</v>
      </c>
      <c r="R12" s="34">
        <f t="shared" si="18"/>
        <v>8.1108852431897652E-3</v>
      </c>
      <c r="S12" s="34">
        <f t="shared" si="18"/>
        <v>0</v>
      </c>
      <c r="T12" s="34">
        <f t="shared" si="18"/>
        <v>0</v>
      </c>
      <c r="U12" s="34">
        <f t="shared" si="18"/>
        <v>0</v>
      </c>
      <c r="V12" s="34">
        <f t="shared" si="18"/>
        <v>6.6991155122615623E-2</v>
      </c>
      <c r="W12" s="34">
        <f t="shared" si="18"/>
        <v>0.17014366341713699</v>
      </c>
      <c r="X12" s="34">
        <f t="shared" si="18"/>
        <v>0.13540565196657753</v>
      </c>
      <c r="Y12" s="34">
        <f t="shared" si="18"/>
        <v>0.25195674795276657</v>
      </c>
      <c r="Z12" s="8">
        <f t="shared" ref="Z12:AA12" si="21">Z11/Z6</f>
        <v>3.0858429485968522E-2</v>
      </c>
      <c r="AA12" s="8">
        <f t="shared" si="21"/>
        <v>0.13590229493603448</v>
      </c>
      <c r="AB12" s="8" t="e">
        <f t="shared" si="18"/>
        <v>#DIV/0!</v>
      </c>
      <c r="AC12" s="8">
        <f t="shared" si="18"/>
        <v>0.19318289889997523</v>
      </c>
      <c r="AD12" s="8">
        <f t="shared" si="18"/>
        <v>0.18614258067738049</v>
      </c>
      <c r="AE12" s="8">
        <f t="shared" si="18"/>
        <v>0.18688762090585009</v>
      </c>
      <c r="AF12" s="8">
        <f t="shared" ref="AF12" si="22">AF11/AF6</f>
        <v>7.5425900000000004E-2</v>
      </c>
      <c r="AG12" s="8">
        <f t="shared" si="18"/>
        <v>0.18148161764705883</v>
      </c>
      <c r="AH12" s="8">
        <f t="shared" si="18"/>
        <v>0.13860623119479765</v>
      </c>
      <c r="AI12" s="8">
        <f t="shared" si="18"/>
        <v>0.10940115317040633</v>
      </c>
      <c r="AJ12" s="8">
        <f t="shared" si="18"/>
        <v>0.19595865081949704</v>
      </c>
      <c r="AK12" s="8">
        <f t="shared" si="18"/>
        <v>3.70208E-3</v>
      </c>
      <c r="AL12" s="8">
        <f t="shared" ref="AL12:AN12" si="23">AL11/AL6</f>
        <v>5.2058990964789168E-3</v>
      </c>
      <c r="AM12" s="8">
        <f t="shared" si="23"/>
        <v>0.15053111111111112</v>
      </c>
      <c r="AN12" s="8">
        <f t="shared" si="23"/>
        <v>1.7882684912773103E-2</v>
      </c>
      <c r="AO12" s="8">
        <f t="shared" ref="AO12" si="24">AO11/AO6</f>
        <v>0.18334634654173987</v>
      </c>
      <c r="AP12" s="8" t="e">
        <f t="shared" si="18"/>
        <v>#DIV/0!</v>
      </c>
      <c r="AQ12" s="8" t="e">
        <f t="shared" si="18"/>
        <v>#DIV/0!</v>
      </c>
      <c r="AR12" s="8" t="e">
        <f t="shared" si="18"/>
        <v>#DIV/0!</v>
      </c>
      <c r="AS12" s="8" t="e">
        <f t="shared" si="18"/>
        <v>#DIV/0!</v>
      </c>
      <c r="AT12" s="8" t="e">
        <f t="shared" si="18"/>
        <v>#DIV/0!</v>
      </c>
      <c r="AU12" s="8" t="e">
        <f t="shared" si="18"/>
        <v>#DIV/0!</v>
      </c>
      <c r="AV12" s="8" t="e">
        <f t="shared" si="18"/>
        <v>#DIV/0!</v>
      </c>
      <c r="AW12" s="8" t="e">
        <f t="shared" si="18"/>
        <v>#DIV/0!</v>
      </c>
      <c r="AX12" s="8" t="e">
        <f t="shared" si="18"/>
        <v>#DIV/0!</v>
      </c>
      <c r="AY12" s="8" t="e">
        <f t="shared" si="18"/>
        <v>#DIV/0!</v>
      </c>
      <c r="AZ12" s="8" t="e">
        <f t="shared" si="18"/>
        <v>#DIV/0!</v>
      </c>
    </row>
    <row r="13" spans="1:52" s="35" customFormat="1" x14ac:dyDescent="0.25">
      <c r="A13" s="37" t="s">
        <v>6</v>
      </c>
      <c r="B13" s="35">
        <f>B6-B7-B9-B11</f>
        <v>244074.02000000025</v>
      </c>
      <c r="C13" s="35">
        <f t="shared" ref="C13:AZ13" si="25">C6-C7-C9-C11</f>
        <v>0</v>
      </c>
      <c r="D13" s="35">
        <f t="shared" si="25"/>
        <v>499786.12</v>
      </c>
      <c r="E13" s="35">
        <f t="shared" si="25"/>
        <v>488280.61</v>
      </c>
      <c r="F13" s="35">
        <f t="shared" si="25"/>
        <v>0</v>
      </c>
      <c r="G13" s="35">
        <f t="shared" ref="G13" si="26">G6-G7-G9-G11</f>
        <v>44527.93</v>
      </c>
      <c r="H13" s="35">
        <f t="shared" si="25"/>
        <v>155799.26</v>
      </c>
      <c r="I13" s="35">
        <f t="shared" si="25"/>
        <v>0</v>
      </c>
      <c r="J13" s="35">
        <f t="shared" si="25"/>
        <v>0</v>
      </c>
      <c r="K13" s="35">
        <f t="shared" si="25"/>
        <v>18133</v>
      </c>
      <c r="L13" s="35">
        <f t="shared" si="25"/>
        <v>0</v>
      </c>
      <c r="M13" s="35">
        <f t="shared" si="25"/>
        <v>0</v>
      </c>
      <c r="N13" s="35">
        <f t="shared" si="25"/>
        <v>0</v>
      </c>
      <c r="O13" s="35">
        <f t="shared" si="25"/>
        <v>0</v>
      </c>
      <c r="P13" s="35">
        <f>P6-P7-P9-P11</f>
        <v>0</v>
      </c>
      <c r="Q13" s="35">
        <f t="shared" ref="Q13" si="27">Q6-Q7-Q9-Q11</f>
        <v>-1.8189894035458565E-11</v>
      </c>
      <c r="R13" s="35">
        <f t="shared" si="25"/>
        <v>2.3305801732931286E-12</v>
      </c>
      <c r="S13" s="35">
        <f t="shared" si="25"/>
        <v>3546.8899999999994</v>
      </c>
      <c r="T13" s="35">
        <f t="shared" si="25"/>
        <v>11488</v>
      </c>
      <c r="U13" s="35">
        <f t="shared" si="25"/>
        <v>15887</v>
      </c>
      <c r="V13" s="35">
        <f t="shared" si="25"/>
        <v>7284</v>
      </c>
      <c r="W13" s="35">
        <f t="shared" si="25"/>
        <v>586.67999999999995</v>
      </c>
      <c r="X13" s="35">
        <f t="shared" si="25"/>
        <v>1193</v>
      </c>
      <c r="Y13" s="35">
        <f t="shared" si="25"/>
        <v>0</v>
      </c>
      <c r="Z13" s="35">
        <f t="shared" ref="Z13:AA13" si="28">Z6-Z7-Z9-Z11</f>
        <v>21572.42</v>
      </c>
      <c r="AA13" s="35">
        <f t="shared" si="28"/>
        <v>0</v>
      </c>
      <c r="AB13" s="35">
        <f t="shared" si="25"/>
        <v>0</v>
      </c>
      <c r="AC13" s="35">
        <f t="shared" si="25"/>
        <v>0</v>
      </c>
      <c r="AD13" s="35">
        <f t="shared" si="25"/>
        <v>0</v>
      </c>
      <c r="AE13" s="35">
        <f t="shared" si="25"/>
        <v>0</v>
      </c>
      <c r="AF13" s="35">
        <f t="shared" ref="AF13" si="29">AF6-AF7-AF9-AF11</f>
        <v>60139.47</v>
      </c>
      <c r="AG13" s="35">
        <f t="shared" si="25"/>
        <v>1866.4900000000007</v>
      </c>
      <c r="AH13" s="35">
        <f t="shared" si="25"/>
        <v>22733.279999999999</v>
      </c>
      <c r="AI13" s="35">
        <f t="shared" si="25"/>
        <v>0</v>
      </c>
      <c r="AJ13" s="35">
        <f t="shared" si="25"/>
        <v>0</v>
      </c>
      <c r="AK13" s="35">
        <f t="shared" si="25"/>
        <v>244691.34000000003</v>
      </c>
      <c r="AL13" s="35">
        <f t="shared" ref="AL13:AN13" si="30">AL6-AL7-AL9-AL11</f>
        <v>319710.16000000003</v>
      </c>
      <c r="AM13" s="35">
        <f t="shared" si="30"/>
        <v>11566.53</v>
      </c>
      <c r="AN13" s="35">
        <f t="shared" si="30"/>
        <v>333566.98</v>
      </c>
      <c r="AO13" s="35">
        <f t="shared" ref="AO13" si="31">AO6-AO7-AO9-AO11</f>
        <v>1678.0300000000011</v>
      </c>
      <c r="AP13" s="35">
        <f t="shared" si="25"/>
        <v>0</v>
      </c>
      <c r="AQ13" s="35">
        <f t="shared" si="25"/>
        <v>0</v>
      </c>
      <c r="AR13" s="35">
        <f t="shared" si="25"/>
        <v>0</v>
      </c>
      <c r="AS13" s="35">
        <f t="shared" si="25"/>
        <v>0</v>
      </c>
      <c r="AT13" s="35">
        <f t="shared" si="25"/>
        <v>0</v>
      </c>
      <c r="AU13" s="35">
        <f t="shared" si="25"/>
        <v>0</v>
      </c>
      <c r="AV13" s="35">
        <f t="shared" si="25"/>
        <v>0</v>
      </c>
      <c r="AW13" s="35">
        <f t="shared" si="25"/>
        <v>0</v>
      </c>
      <c r="AX13" s="35">
        <f t="shared" si="25"/>
        <v>0</v>
      </c>
      <c r="AY13" s="35">
        <f t="shared" si="25"/>
        <v>0</v>
      </c>
      <c r="AZ13" s="35">
        <f t="shared" si="25"/>
        <v>0</v>
      </c>
    </row>
    <row r="14" spans="1:52" s="7" customFormat="1" ht="75" x14ac:dyDescent="0.25">
      <c r="A14" s="5" t="s">
        <v>7</v>
      </c>
      <c r="B14" s="5" t="s">
        <v>172</v>
      </c>
      <c r="C14" s="5"/>
      <c r="D14" s="5" t="s">
        <v>171</v>
      </c>
      <c r="E14" s="5" t="s">
        <v>171</v>
      </c>
      <c r="F14" s="5"/>
      <c r="G14" s="5" t="s">
        <v>171</v>
      </c>
      <c r="H14" s="5" t="s">
        <v>171</v>
      </c>
      <c r="I14" s="5"/>
      <c r="J14" s="5"/>
      <c r="K14" s="5" t="s">
        <v>121</v>
      </c>
      <c r="L14" s="5"/>
      <c r="M14" s="5"/>
      <c r="N14" s="5"/>
      <c r="O14" s="5"/>
      <c r="P14" s="5"/>
      <c r="Q14" s="5"/>
      <c r="R14" s="5"/>
      <c r="S14" s="5" t="s">
        <v>122</v>
      </c>
      <c r="T14" s="5" t="s">
        <v>119</v>
      </c>
      <c r="U14" s="5" t="s">
        <v>129</v>
      </c>
      <c r="V14" s="5" t="s">
        <v>119</v>
      </c>
      <c r="W14" s="5" t="s">
        <v>151</v>
      </c>
      <c r="X14" s="5" t="s">
        <v>119</v>
      </c>
      <c r="Y14" s="5"/>
      <c r="Z14" s="5" t="s">
        <v>156</v>
      </c>
      <c r="AA14" s="5"/>
      <c r="AC14" s="5"/>
      <c r="AF14" s="7" t="s">
        <v>159</v>
      </c>
      <c r="AG14" s="5" t="s">
        <v>170</v>
      </c>
      <c r="AH14" s="5" t="s">
        <v>169</v>
      </c>
      <c r="AI14" s="5"/>
      <c r="AJ14" s="5"/>
      <c r="AK14" s="7" t="s">
        <v>163</v>
      </c>
      <c r="AL14" s="7" t="s">
        <v>161</v>
      </c>
      <c r="AM14" s="5" t="s">
        <v>168</v>
      </c>
      <c r="AN14" s="7" t="s">
        <v>165</v>
      </c>
      <c r="AO14" s="5" t="s">
        <v>167</v>
      </c>
      <c r="AT14" s="7" t="s">
        <v>51</v>
      </c>
      <c r="AU14" s="7" t="s">
        <v>51</v>
      </c>
      <c r="AV14" s="7" t="s">
        <v>51</v>
      </c>
      <c r="AW14" s="7" t="s">
        <v>51</v>
      </c>
      <c r="AX14" s="7" t="s">
        <v>51</v>
      </c>
      <c r="AY14" s="7" t="s">
        <v>51</v>
      </c>
      <c r="AZ14" s="7" t="s">
        <v>51</v>
      </c>
    </row>
    <row r="16" spans="1:52" s="7" customFormat="1" ht="30" x14ac:dyDescent="0.25">
      <c r="A16" s="5" t="s">
        <v>23</v>
      </c>
      <c r="B16" s="7" t="s">
        <v>63</v>
      </c>
      <c r="G16" s="3" t="s">
        <v>144</v>
      </c>
      <c r="H16" s="7" t="s">
        <v>64</v>
      </c>
      <c r="M16" s="7" t="s">
        <v>64</v>
      </c>
      <c r="N16" s="7" t="s">
        <v>63</v>
      </c>
      <c r="Q16" s="7" t="s">
        <v>65</v>
      </c>
      <c r="R16" s="7" t="s">
        <v>67</v>
      </c>
      <c r="V16" s="7" t="s">
        <v>64</v>
      </c>
      <c r="W16" s="7" t="s">
        <v>64</v>
      </c>
      <c r="X16" s="7" t="s">
        <v>64</v>
      </c>
      <c r="Y16" s="7" t="s">
        <v>64</v>
      </c>
      <c r="Z16" s="7" t="s">
        <v>64</v>
      </c>
      <c r="AA16" s="7" t="s">
        <v>64</v>
      </c>
      <c r="AC16" s="7" t="s">
        <v>115</v>
      </c>
      <c r="AD16" s="7" t="s">
        <v>115</v>
      </c>
      <c r="AE16" s="7" t="s">
        <v>115</v>
      </c>
      <c r="AF16" s="7" t="s">
        <v>115</v>
      </c>
      <c r="AG16" s="7" t="s">
        <v>115</v>
      </c>
      <c r="AH16" s="7" t="s">
        <v>115</v>
      </c>
      <c r="AI16" s="7" t="s">
        <v>115</v>
      </c>
      <c r="AJ16" s="7" t="s">
        <v>115</v>
      </c>
      <c r="AK16" s="7" t="s">
        <v>115</v>
      </c>
      <c r="AL16" s="7" t="s">
        <v>115</v>
      </c>
      <c r="AM16" s="7" t="s">
        <v>115</v>
      </c>
      <c r="AN16" s="7" t="s">
        <v>115</v>
      </c>
      <c r="AO16" s="7" t="s">
        <v>115</v>
      </c>
    </row>
    <row r="18" spans="1:21" s="7" customFormat="1" ht="60" x14ac:dyDescent="0.25">
      <c r="A18" s="40" t="s">
        <v>55</v>
      </c>
      <c r="B18" s="5" t="s">
        <v>71</v>
      </c>
      <c r="C18" s="7" t="s">
        <v>73</v>
      </c>
      <c r="D18" s="5" t="s">
        <v>74</v>
      </c>
      <c r="E18" s="5" t="s">
        <v>75</v>
      </c>
      <c r="F18" s="7" t="s">
        <v>75</v>
      </c>
      <c r="G18" s="5" t="s">
        <v>138</v>
      </c>
      <c r="H18" s="7" t="s">
        <v>128</v>
      </c>
      <c r="I18" s="7" t="s">
        <v>73</v>
      </c>
      <c r="J18" s="7" t="s">
        <v>73</v>
      </c>
      <c r="K18" s="7" t="s">
        <v>125</v>
      </c>
      <c r="L18" s="7" t="s">
        <v>125</v>
      </c>
      <c r="N18" s="5" t="s">
        <v>131</v>
      </c>
      <c r="O18" s="7" t="s">
        <v>73</v>
      </c>
      <c r="P18" s="5" t="s">
        <v>127</v>
      </c>
      <c r="Q18" s="7" t="s">
        <v>66</v>
      </c>
      <c r="R18" s="7" t="s">
        <v>80</v>
      </c>
      <c r="S18" s="7" t="s">
        <v>70</v>
      </c>
      <c r="T18" s="7" t="s">
        <v>81</v>
      </c>
      <c r="U18" s="7" t="s">
        <v>81</v>
      </c>
    </row>
    <row r="19" spans="1:21" s="7" customFormat="1" ht="30" x14ac:dyDescent="0.25">
      <c r="A19" s="40"/>
      <c r="B19" s="5" t="s">
        <v>72</v>
      </c>
      <c r="D19" s="5" t="s">
        <v>123</v>
      </c>
      <c r="E19" s="5" t="s">
        <v>124</v>
      </c>
      <c r="F19" s="7" t="s">
        <v>76</v>
      </c>
      <c r="G19" s="5" t="s">
        <v>139</v>
      </c>
      <c r="H19" s="7" t="s">
        <v>77</v>
      </c>
      <c r="N19" s="5" t="s">
        <v>132</v>
      </c>
    </row>
    <row r="20" spans="1:21" s="7" customFormat="1" ht="60" x14ac:dyDescent="0.25">
      <c r="A20" s="40"/>
      <c r="B20" s="5" t="s">
        <v>126</v>
      </c>
      <c r="D20" s="5" t="s">
        <v>134</v>
      </c>
      <c r="E20" s="5" t="s">
        <v>79</v>
      </c>
      <c r="F20" s="7" t="s">
        <v>79</v>
      </c>
      <c r="G20" s="5" t="s">
        <v>140</v>
      </c>
      <c r="H20" s="5" t="s">
        <v>78</v>
      </c>
      <c r="N20" s="5" t="s">
        <v>79</v>
      </c>
    </row>
    <row r="21" spans="1:21" s="7" customFormat="1" ht="45" x14ac:dyDescent="0.25">
      <c r="A21" s="40"/>
      <c r="B21" s="5"/>
      <c r="D21" s="5" t="s">
        <v>135</v>
      </c>
      <c r="E21" s="5" t="s">
        <v>137</v>
      </c>
      <c r="F21" s="7" t="s">
        <v>120</v>
      </c>
      <c r="G21" s="5" t="s">
        <v>141</v>
      </c>
      <c r="H21" s="7" t="s">
        <v>118</v>
      </c>
      <c r="N21" s="7" t="s">
        <v>133</v>
      </c>
    </row>
    <row r="22" spans="1:21" s="7" customFormat="1" ht="30" x14ac:dyDescent="0.25">
      <c r="A22" s="40"/>
      <c r="B22" s="5"/>
      <c r="D22" s="5" t="s">
        <v>136</v>
      </c>
      <c r="G22" s="5" t="s">
        <v>142</v>
      </c>
    </row>
    <row r="23" spans="1:21" s="7" customFormat="1" ht="30" x14ac:dyDescent="0.25">
      <c r="A23" s="40"/>
      <c r="B23" s="5"/>
      <c r="D23" s="5"/>
      <c r="G23" s="5" t="s">
        <v>143</v>
      </c>
    </row>
    <row r="24" spans="1:21" x14ac:dyDescent="0.25">
      <c r="A24" s="9"/>
    </row>
    <row r="25" spans="1:21" s="7" customFormat="1" x14ac:dyDescent="0.25">
      <c r="A25" s="30" t="s">
        <v>56</v>
      </c>
    </row>
    <row r="26" spans="1:21" x14ac:dyDescent="0.25">
      <c r="A26" s="9"/>
    </row>
    <row r="27" spans="1:21" s="7" customFormat="1" x14ac:dyDescent="0.25">
      <c r="A27" s="40" t="s">
        <v>57</v>
      </c>
    </row>
    <row r="28" spans="1:21" s="7" customFormat="1" x14ac:dyDescent="0.25">
      <c r="A28" s="40"/>
    </row>
    <row r="29" spans="1:21" s="7" customFormat="1" x14ac:dyDescent="0.25">
      <c r="A29" s="40"/>
    </row>
    <row r="30" spans="1:21" s="7" customFormat="1" x14ac:dyDescent="0.25">
      <c r="A30" s="40"/>
    </row>
    <row r="31" spans="1:21" s="7" customFormat="1" x14ac:dyDescent="0.25">
      <c r="A31" s="40"/>
    </row>
    <row r="32" spans="1:21" x14ac:dyDescent="0.25">
      <c r="A32" s="9"/>
    </row>
    <row r="33" spans="1:52" s="7" customFormat="1" ht="15" customHeight="1" x14ac:dyDescent="0.25">
      <c r="A33" s="5" t="s">
        <v>8</v>
      </c>
      <c r="B33" s="33">
        <v>9001</v>
      </c>
      <c r="C33" s="38">
        <v>2831</v>
      </c>
      <c r="D33" s="33">
        <v>940</v>
      </c>
      <c r="E33" s="33">
        <v>500</v>
      </c>
      <c r="F33" s="33" t="s">
        <v>82</v>
      </c>
      <c r="G33" s="33">
        <v>166</v>
      </c>
      <c r="H33" s="33">
        <v>145</v>
      </c>
      <c r="I33" s="38">
        <v>2831</v>
      </c>
      <c r="J33" s="38">
        <v>2831</v>
      </c>
      <c r="K33" s="7" t="s">
        <v>82</v>
      </c>
      <c r="L33" s="7" t="s">
        <v>82</v>
      </c>
      <c r="M33" s="39">
        <v>1319</v>
      </c>
      <c r="N33" s="7">
        <v>975</v>
      </c>
      <c r="O33" s="38">
        <v>2831</v>
      </c>
      <c r="P33" s="33">
        <v>349</v>
      </c>
      <c r="Q33" s="33">
        <v>74</v>
      </c>
      <c r="R33" s="33">
        <v>639</v>
      </c>
      <c r="S33" s="7" t="s">
        <v>82</v>
      </c>
      <c r="T33" s="39">
        <v>11</v>
      </c>
      <c r="U33" s="39">
        <v>5</v>
      </c>
      <c r="V33" s="39">
        <v>22</v>
      </c>
      <c r="W33" s="39">
        <v>3</v>
      </c>
      <c r="X33" s="39">
        <v>1</v>
      </c>
      <c r="Y33" s="39">
        <v>0</v>
      </c>
      <c r="Z33" s="39">
        <v>44</v>
      </c>
      <c r="AA33" s="39">
        <v>28</v>
      </c>
      <c r="AC33" s="44" t="s">
        <v>114</v>
      </c>
      <c r="AD33" s="44" t="s">
        <v>114</v>
      </c>
      <c r="AE33" s="44" t="s">
        <v>114</v>
      </c>
      <c r="AF33" s="44" t="s">
        <v>114</v>
      </c>
      <c r="AG33" s="44" t="s">
        <v>114</v>
      </c>
      <c r="AH33" s="44" t="s">
        <v>114</v>
      </c>
      <c r="AI33" s="44" t="s">
        <v>114</v>
      </c>
      <c r="AJ33" s="44" t="s">
        <v>114</v>
      </c>
      <c r="AK33" s="44" t="s">
        <v>114</v>
      </c>
      <c r="AL33" s="44" t="s">
        <v>114</v>
      </c>
      <c r="AM33" s="44" t="s">
        <v>114</v>
      </c>
      <c r="AN33" s="44" t="s">
        <v>54</v>
      </c>
      <c r="AO33" s="44" t="s">
        <v>54</v>
      </c>
      <c r="AP33" s="44" t="s">
        <v>54</v>
      </c>
    </row>
    <row r="34" spans="1:52" s="7" customFormat="1" x14ac:dyDescent="0.25">
      <c r="A34" s="5" t="s">
        <v>9</v>
      </c>
      <c r="B34" s="33">
        <v>9001</v>
      </c>
      <c r="C34" s="38">
        <v>2831</v>
      </c>
      <c r="D34" s="33">
        <v>940</v>
      </c>
      <c r="E34" s="33">
        <v>500</v>
      </c>
      <c r="F34" s="33" t="s">
        <v>82</v>
      </c>
      <c r="G34" s="33">
        <v>166</v>
      </c>
      <c r="H34" s="33">
        <v>145</v>
      </c>
      <c r="I34" s="38">
        <v>2831</v>
      </c>
      <c r="J34" s="38">
        <v>2831</v>
      </c>
      <c r="K34" s="7" t="s">
        <v>82</v>
      </c>
      <c r="L34" s="7" t="s">
        <v>82</v>
      </c>
      <c r="M34" s="39">
        <v>1319</v>
      </c>
      <c r="N34" s="7">
        <v>975</v>
      </c>
      <c r="O34" s="38">
        <v>2831</v>
      </c>
      <c r="P34" s="33">
        <v>349</v>
      </c>
      <c r="Q34" s="33">
        <v>74</v>
      </c>
      <c r="R34" s="33">
        <v>639</v>
      </c>
      <c r="S34" s="7" t="s">
        <v>82</v>
      </c>
      <c r="T34" s="39">
        <v>11</v>
      </c>
      <c r="U34" s="39">
        <v>5</v>
      </c>
      <c r="V34" s="39">
        <v>22</v>
      </c>
      <c r="W34" s="39">
        <v>3</v>
      </c>
      <c r="X34" s="39">
        <v>1</v>
      </c>
      <c r="Y34" s="39">
        <v>0</v>
      </c>
      <c r="Z34" s="39">
        <v>44</v>
      </c>
      <c r="AA34" s="39">
        <v>28</v>
      </c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</row>
    <row r="35" spans="1:52" s="7" customFormat="1" x14ac:dyDescent="0.25">
      <c r="A35" s="5" t="s">
        <v>10</v>
      </c>
      <c r="B35" s="7">
        <v>45</v>
      </c>
      <c r="C35" s="33">
        <v>0</v>
      </c>
      <c r="D35" s="33">
        <v>0</v>
      </c>
      <c r="E35" s="7">
        <v>0</v>
      </c>
      <c r="F35" s="33">
        <v>0</v>
      </c>
      <c r="G35" s="33">
        <v>0</v>
      </c>
      <c r="H35" s="7">
        <v>94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49</v>
      </c>
      <c r="Q35" s="7">
        <v>0</v>
      </c>
      <c r="R35" s="33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</row>
    <row r="37" spans="1:52" s="7" customFormat="1" ht="36.75" customHeight="1" x14ac:dyDescent="0.25">
      <c r="A37" s="7" t="s">
        <v>11</v>
      </c>
      <c r="B37" s="5" t="s">
        <v>68</v>
      </c>
      <c r="C37" s="5" t="s">
        <v>68</v>
      </c>
      <c r="D37" s="5" t="s">
        <v>68</v>
      </c>
      <c r="E37" s="5" t="s">
        <v>68</v>
      </c>
      <c r="F37" s="5" t="s">
        <v>68</v>
      </c>
      <c r="G37" s="5" t="s">
        <v>68</v>
      </c>
      <c r="H37" s="5" t="s">
        <v>68</v>
      </c>
      <c r="I37" s="5" t="s">
        <v>68</v>
      </c>
      <c r="J37" s="5" t="s">
        <v>68</v>
      </c>
      <c r="K37" s="5" t="s">
        <v>68</v>
      </c>
      <c r="L37" s="5" t="s">
        <v>68</v>
      </c>
      <c r="M37" s="5" t="s">
        <v>68</v>
      </c>
      <c r="N37" s="5" t="s">
        <v>68</v>
      </c>
      <c r="O37" s="5" t="s">
        <v>68</v>
      </c>
      <c r="P37" s="5" t="s">
        <v>68</v>
      </c>
      <c r="Q37" s="5" t="s">
        <v>68</v>
      </c>
      <c r="R37" s="5" t="s">
        <v>68</v>
      </c>
      <c r="S37" s="5"/>
      <c r="T37" s="5" t="s">
        <v>68</v>
      </c>
      <c r="U37" s="5" t="s">
        <v>68</v>
      </c>
      <c r="V37" s="5" t="s">
        <v>68</v>
      </c>
      <c r="W37" s="5" t="s">
        <v>68</v>
      </c>
      <c r="X37" s="5" t="s">
        <v>68</v>
      </c>
      <c r="Y37" s="5" t="s">
        <v>68</v>
      </c>
      <c r="Z37" s="5"/>
      <c r="AA37" s="5"/>
      <c r="AB37" s="5" t="s">
        <v>68</v>
      </c>
      <c r="AC37" s="5" t="s">
        <v>68</v>
      </c>
      <c r="AD37" s="5" t="s">
        <v>68</v>
      </c>
      <c r="AE37" s="5" t="s">
        <v>68</v>
      </c>
      <c r="AF37" s="5" t="s">
        <v>68</v>
      </c>
      <c r="AG37" s="5" t="s">
        <v>68</v>
      </c>
      <c r="AH37" s="5" t="s">
        <v>68</v>
      </c>
      <c r="AI37" s="5" t="s">
        <v>68</v>
      </c>
      <c r="AJ37" s="5" t="s">
        <v>68</v>
      </c>
      <c r="AK37" s="5" t="s">
        <v>68</v>
      </c>
      <c r="AL37" s="5" t="s">
        <v>68</v>
      </c>
      <c r="AM37" s="5" t="s">
        <v>68</v>
      </c>
      <c r="AN37" s="5" t="s">
        <v>68</v>
      </c>
      <c r="AO37" s="5" t="s">
        <v>68</v>
      </c>
      <c r="AP37" s="5" t="s">
        <v>68</v>
      </c>
      <c r="AQ37" s="5" t="s">
        <v>68</v>
      </c>
      <c r="AR37" s="5" t="s">
        <v>68</v>
      </c>
      <c r="AS37" s="5" t="s">
        <v>68</v>
      </c>
      <c r="AT37" s="5" t="s">
        <v>68</v>
      </c>
      <c r="AU37" s="5" t="s">
        <v>68</v>
      </c>
      <c r="AV37" s="5" t="s">
        <v>68</v>
      </c>
      <c r="AW37" s="5" t="s">
        <v>68</v>
      </c>
      <c r="AX37" s="5" t="s">
        <v>68</v>
      </c>
      <c r="AY37" s="5" t="s">
        <v>68</v>
      </c>
      <c r="AZ37" s="5" t="s">
        <v>68</v>
      </c>
    </row>
  </sheetData>
  <mergeCells count="19">
    <mergeCell ref="AM33:AM35"/>
    <mergeCell ref="AN33:AN35"/>
    <mergeCell ref="AO33:AO35"/>
    <mergeCell ref="AC2:AS2"/>
    <mergeCell ref="AT2:AZ2"/>
    <mergeCell ref="AP33:AP35"/>
    <mergeCell ref="AK33:AK35"/>
    <mergeCell ref="AJ33:AJ35"/>
    <mergeCell ref="AI33:AI35"/>
    <mergeCell ref="AH33:AH35"/>
    <mergeCell ref="AG33:AG35"/>
    <mergeCell ref="AF33:AF35"/>
    <mergeCell ref="AL33:AL35"/>
    <mergeCell ref="A18:A23"/>
    <mergeCell ref="B2:AB2"/>
    <mergeCell ref="AC33:AC35"/>
    <mergeCell ref="AD33:AD35"/>
    <mergeCell ref="AE33:AE35"/>
    <mergeCell ref="A27:A31"/>
  </mergeCells>
  <pageMargins left="0.25" right="0.25" top="1.25" bottom="0.5" header="0.3" footer="0.3"/>
  <pageSetup scale="71" fitToWidth="0" orientation="landscape" r:id="rId1"/>
  <headerFooter>
    <oddHeader xml:space="preserve">&amp;CBarren River
 Area Development District
Fy 2021 July - September
KRS 147a.115 Report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28"/>
  <sheetViews>
    <sheetView topLeftCell="A10" workbookViewId="0">
      <selection activeCell="B11" sqref="B11"/>
    </sheetView>
  </sheetViews>
  <sheetFormatPr defaultColWidth="8.85546875" defaultRowHeight="15" x14ac:dyDescent="0.25"/>
  <cols>
    <col min="1" max="1" width="29.7109375" style="1" customWidth="1"/>
    <col min="2" max="25" width="25.7109375" customWidth="1"/>
    <col min="26" max="26" width="14.28515625" bestFit="1" customWidth="1"/>
  </cols>
  <sheetData>
    <row r="3" spans="1:25" s="2" customFormat="1" ht="30" x14ac:dyDescent="0.25">
      <c r="A3" s="3"/>
      <c r="B3" s="3" t="str">
        <f>Overall!B3</f>
        <v>Title III B</v>
      </c>
      <c r="C3" s="3" t="str">
        <f>Overall!C3</f>
        <v>Title III B Ombudsman</v>
      </c>
      <c r="D3" s="3" t="str">
        <f>Overall!D3</f>
        <v>Title III C1</v>
      </c>
      <c r="E3" s="3" t="str">
        <f>Overall!E3</f>
        <v>Title III C2</v>
      </c>
      <c r="F3" s="3" t="s">
        <v>61</v>
      </c>
      <c r="G3" s="3" t="str">
        <f>Overall!H3</f>
        <v>Title III E</v>
      </c>
      <c r="H3" s="3" t="str">
        <f>Overall!I3</f>
        <v>Title VII Elder Abuse</v>
      </c>
      <c r="I3" s="3" t="str">
        <f>Overall!J3</f>
        <v>Title VII Ombudsman</v>
      </c>
      <c r="J3" s="3" t="str">
        <f>Overall!K3</f>
        <v>NSIP 10/1/23 to 6/30/24</v>
      </c>
      <c r="K3" s="3" t="str">
        <f>Overall!L3</f>
        <v>NSIP 7/1/23 to 9/30/23</v>
      </c>
      <c r="L3" s="3" t="str">
        <f>Overall!M3</f>
        <v>Disability Resource Center</v>
      </c>
      <c r="M3" s="3" t="e">
        <f>Overall!#REF!</f>
        <v>#REF!</v>
      </c>
      <c r="N3" s="3" t="str">
        <f>Overall!N3</f>
        <v>ESMP</v>
      </c>
      <c r="O3" s="3" t="str">
        <f>Overall!O3</f>
        <v>State Long Term Care Ombudsman</v>
      </c>
      <c r="P3" s="3" t="str">
        <f>Overall!P3</f>
        <v>Homecare</v>
      </c>
      <c r="Q3" s="3" t="str">
        <f>Overall!Q3</f>
        <v>KY Caregiver</v>
      </c>
      <c r="R3" s="3" t="str">
        <f>Overall!R3</f>
        <v>SHIP</v>
      </c>
      <c r="S3" s="3" t="str">
        <f>Overall!S3</f>
        <v>SHIP Training Funds</v>
      </c>
      <c r="T3" s="3" t="str">
        <f>Overall!T3</f>
        <v>MIPPA SHIP 9/1/23 to 6/30/24</v>
      </c>
      <c r="U3" s="3" t="str">
        <f>Overall!U3</f>
        <v>MIPPA SHIP 7/1/23 to 8/31/23</v>
      </c>
      <c r="V3" s="3" t="str">
        <f>Overall!V3</f>
        <v>MIPPA AAA 9/1/23 to 6/30/24</v>
      </c>
      <c r="W3" s="3" t="str">
        <f>Overall!W3</f>
        <v>MIPPA AAA 7/1/23 to 8/31/23</v>
      </c>
      <c r="X3" s="3" t="str">
        <f>Overall!X3</f>
        <v>MIPPA ADRC 9/1/23 to 6/30/24</v>
      </c>
      <c r="Y3" s="3" t="str">
        <f>Overall!Y3</f>
        <v>MIPPA ADRC 7/1/23 to 8/31/23</v>
      </c>
    </row>
    <row r="4" spans="1:25" s="10" customFormat="1" x14ac:dyDescent="0.25">
      <c r="A4" s="29" t="str">
        <f>Overall!A4</f>
        <v>Grant Award</v>
      </c>
      <c r="B4" s="21">
        <f>IF(ISBLANK(Overall!B4),"",Overall!B4)</f>
        <v>1162774.05</v>
      </c>
      <c r="C4" s="21">
        <f>IF(ISBLANK(Overall!C4),"",Overall!C4)</f>
        <v>114709</v>
      </c>
      <c r="D4" s="21">
        <f>IF(ISBLANK(Overall!D4),"",Overall!D4)</f>
        <v>1139521</v>
      </c>
      <c r="E4" s="21">
        <f>IF(ISBLANK(Overall!E4),"",Overall!E4)</f>
        <v>880009</v>
      </c>
      <c r="F4" s="21">
        <f>IF(ISBLANK(Overall!G4),"",Overall!G4)</f>
        <v>83681</v>
      </c>
      <c r="G4" s="21">
        <f>IF(ISBLANK(Overall!H4),"",Overall!H4)</f>
        <v>394810</v>
      </c>
      <c r="H4" s="21">
        <f>IF(ISBLANK(Overall!I4),"",Overall!I4)</f>
        <v>5611</v>
      </c>
      <c r="I4" s="21">
        <f>IF(ISBLANK(Overall!J4),"",Overall!J4)</f>
        <v>32069.21</v>
      </c>
      <c r="J4" s="21">
        <f>IF(ISBLANK(Overall!K4),"",Overall!K4)</f>
        <v>72546</v>
      </c>
      <c r="K4" s="21">
        <f>IF(ISBLANK(Overall!L4),"",Overall!L4)</f>
        <v>54685.7</v>
      </c>
      <c r="L4" s="21">
        <f>IF(ISBLANK(Overall!M4),"",Overall!M4)</f>
        <v>60000</v>
      </c>
      <c r="M4" s="21" t="e">
        <f>IF(ISBLANK(Overall!#REF!),"",Overall!#REF!)</f>
        <v>#REF!</v>
      </c>
      <c r="N4" s="21">
        <f>IF(ISBLANK(Overall!N4),"",Overall!N4)</f>
        <v>1274893</v>
      </c>
      <c r="O4" s="21">
        <f>IF(ISBLANK(Overall!O4),"",Overall!O4)</f>
        <v>34742</v>
      </c>
      <c r="P4" s="21">
        <f>IF(ISBLANK(Overall!P4),"",Overall!P4)</f>
        <v>1075236</v>
      </c>
      <c r="Q4" s="21">
        <f>IF(ISBLANK(Overall!Q4),"",Overall!Q4)</f>
        <v>120912</v>
      </c>
      <c r="R4" s="21">
        <f>IF(ISBLANK(Overall!R4),"",Overall!R4)</f>
        <v>44000</v>
      </c>
      <c r="S4" s="21">
        <f>IF(ISBLANK(Overall!S4),"",Overall!S4)</f>
        <v>16000</v>
      </c>
      <c r="T4" s="21">
        <f>IF(ISBLANK(Overall!T4),"",Overall!T4)</f>
        <v>12428</v>
      </c>
      <c r="U4" s="21">
        <f>IF(ISBLANK(Overall!U4),"",Overall!U4)</f>
        <v>16147</v>
      </c>
      <c r="V4" s="21">
        <f>IF(ISBLANK(Overall!V4),"",Overall!V4)</f>
        <v>10777</v>
      </c>
      <c r="W4" s="21">
        <f>IF(ISBLANK(Overall!W4),"",Overall!W4)</f>
        <v>1949</v>
      </c>
      <c r="X4" s="21">
        <f>IF(ISBLANK(Overall!X4),"",Overall!X4)</f>
        <v>3858</v>
      </c>
      <c r="Y4" s="21">
        <f>IF(ISBLANK(Overall!Y4),"",Overall!Y4)</f>
        <v>2188</v>
      </c>
    </row>
    <row r="5" spans="1:25" s="10" customFormat="1" x14ac:dyDescent="0.25">
      <c r="A5" s="29" t="str">
        <f>Overall!A5</f>
        <v>Local Funds (Match or applied)</v>
      </c>
      <c r="B5" s="21">
        <f>IF(ISBLANK(Overall!B5),"",Overall!B5)</f>
        <v>70639.13</v>
      </c>
      <c r="C5" s="21">
        <f>IF(ISBLANK(Overall!C5),"",Overall!C5)</f>
        <v>26</v>
      </c>
      <c r="D5" s="21">
        <f>IF(ISBLANK(Overall!D5),"",Overall!D5)</f>
        <v>112798.39999999999</v>
      </c>
      <c r="E5" s="21">
        <f>IF(ISBLANK(Overall!E5),"",Overall!E5)</f>
        <v>88602.36</v>
      </c>
      <c r="F5" s="21">
        <f>IF(ISBLANK(Overall!G5),"",Overall!G5)</f>
        <v>0.05</v>
      </c>
      <c r="G5" s="21">
        <f>IF(ISBLANK(Overall!H5),"",Overall!H5)</f>
        <v>55126</v>
      </c>
      <c r="H5" s="21">
        <f>IF(ISBLANK(Overall!I5),"",Overall!I5)</f>
        <v>1972</v>
      </c>
      <c r="I5" s="21">
        <f>IF(ISBLANK(Overall!J5),"",Overall!J5)</f>
        <v>5900</v>
      </c>
      <c r="J5" s="21" t="str">
        <f>IF(ISBLANK(Overall!K5),"",Overall!K5)</f>
        <v/>
      </c>
      <c r="K5" s="21" t="str">
        <f>IF(ISBLANK(Overall!L5),"",Overall!L5)</f>
        <v/>
      </c>
      <c r="L5" s="21" t="str">
        <f>IF(ISBLANK(Overall!M5),"",Overall!M5)</f>
        <v/>
      </c>
      <c r="M5" s="21" t="e">
        <f>IF(ISBLANK(Overall!#REF!),"",Overall!#REF!)</f>
        <v>#REF!</v>
      </c>
      <c r="N5" s="21">
        <f>IF(ISBLANK(Overall!N5),"",Overall!N5)</f>
        <v>63149.59</v>
      </c>
      <c r="O5" s="21">
        <f>IF(ISBLANK(Overall!O5),"",Overall!O5)</f>
        <v>10289</v>
      </c>
      <c r="P5" s="21">
        <f>IF(ISBLANK(Overall!P5),"",Overall!P5)</f>
        <v>55308.77</v>
      </c>
      <c r="Q5" s="21">
        <f>IF(ISBLANK(Overall!Q5),"",Overall!Q5)</f>
        <v>124.17999999999999</v>
      </c>
      <c r="R5" s="21">
        <f>IF(ISBLANK(Overall!R5),"",Overall!R5)</f>
        <v>3151.45</v>
      </c>
      <c r="S5" s="21">
        <f>IF(ISBLANK(Overall!S5),"",Overall!S5)</f>
        <v>6.33</v>
      </c>
      <c r="T5" s="21" t="str">
        <f>IF(ISBLANK(Overall!T5),"",Overall!T5)</f>
        <v/>
      </c>
      <c r="U5" s="21" t="str">
        <f>IF(ISBLANK(Overall!U5),"",Overall!U5)</f>
        <v/>
      </c>
      <c r="V5" s="21">
        <f>IF(ISBLANK(Overall!V5),"",Overall!V5)</f>
        <v>0.99</v>
      </c>
      <c r="W5" s="21" t="str">
        <f>IF(ISBLANK(Overall!W5),"",Overall!W5)</f>
        <v/>
      </c>
      <c r="X5" s="21">
        <f>IF(ISBLANK(Overall!X5),"",Overall!X5)</f>
        <v>0.48</v>
      </c>
      <c r="Y5" s="21">
        <f>IF(ISBLANK(Overall!Y5),"",Overall!Y5)</f>
        <v>22.3</v>
      </c>
    </row>
    <row r="6" spans="1:25" s="10" customFormat="1" x14ac:dyDescent="0.25">
      <c r="A6" s="29" t="str">
        <f>Overall!A6</f>
        <v>Total Grant Funds</v>
      </c>
      <c r="B6" s="21">
        <f>IF(ISBLANK(Overall!B6),"",Overall!B6)</f>
        <v>1233413.1800000002</v>
      </c>
      <c r="C6" s="21">
        <f>IF(ISBLANK(Overall!C6),"",Overall!C6)</f>
        <v>114735</v>
      </c>
      <c r="D6" s="21">
        <f>IF(ISBLANK(Overall!D6),"",Overall!D6)</f>
        <v>1252319.3999999999</v>
      </c>
      <c r="E6" s="21">
        <f>IF(ISBLANK(Overall!E6),"",Overall!E6)</f>
        <v>968611.36</v>
      </c>
      <c r="F6" s="21">
        <f>IF(ISBLANK(Overall!G6),"",Overall!G6)</f>
        <v>83681.05</v>
      </c>
      <c r="G6" s="21">
        <f>IF(ISBLANK(Overall!H6),"",Overall!H6)</f>
        <v>449936</v>
      </c>
      <c r="H6" s="21">
        <f>IF(ISBLANK(Overall!I6),"",Overall!I6)</f>
        <v>7583</v>
      </c>
      <c r="I6" s="21">
        <f>IF(ISBLANK(Overall!J6),"",Overall!J6)</f>
        <v>37969.21</v>
      </c>
      <c r="J6" s="21">
        <f>IF(ISBLANK(Overall!K6),"",Overall!K6)</f>
        <v>72546</v>
      </c>
      <c r="K6" s="21">
        <f>IF(ISBLANK(Overall!L6),"",Overall!L6)</f>
        <v>54685.7</v>
      </c>
      <c r="L6" s="21">
        <f>IF(ISBLANK(Overall!M6),"",Overall!M6)</f>
        <v>60000</v>
      </c>
      <c r="M6" s="21" t="e">
        <f>IF(ISBLANK(Overall!#REF!),"",Overall!#REF!)</f>
        <v>#REF!</v>
      </c>
      <c r="N6" s="21">
        <f>IF(ISBLANK(Overall!N6),"",Overall!N6)</f>
        <v>1338042.5900000001</v>
      </c>
      <c r="O6" s="21">
        <f>IF(ISBLANK(Overall!O6),"",Overall!O6)</f>
        <v>45031</v>
      </c>
      <c r="P6" s="21">
        <f>IF(ISBLANK(Overall!P6),"",Overall!P6)</f>
        <v>1130544.77</v>
      </c>
      <c r="Q6" s="21">
        <f>IF(ISBLANK(Overall!Q6),"",Overall!Q6)</f>
        <v>121036.18</v>
      </c>
      <c r="R6" s="21">
        <f>IF(ISBLANK(Overall!R6),"",Overall!R6)</f>
        <v>47151.45</v>
      </c>
      <c r="S6" s="21">
        <f>IF(ISBLANK(Overall!S6),"",Overall!S6)</f>
        <v>16006.33</v>
      </c>
      <c r="T6" s="21">
        <f>IF(ISBLANK(Overall!T6),"",Overall!T6)</f>
        <v>12428</v>
      </c>
      <c r="U6" s="21">
        <f>IF(ISBLANK(Overall!U6),"",Overall!U6)</f>
        <v>16147</v>
      </c>
      <c r="V6" s="21">
        <f>IF(ISBLANK(Overall!V6),"",Overall!V6)</f>
        <v>10777.99</v>
      </c>
      <c r="W6" s="21">
        <f>IF(ISBLANK(Overall!W6),"",Overall!W6)</f>
        <v>1949</v>
      </c>
      <c r="X6" s="21">
        <f>IF(ISBLANK(Overall!X6),"",Overall!X6)</f>
        <v>3858.48</v>
      </c>
      <c r="Y6" s="21">
        <f>IF(ISBLANK(Overall!Y6),"",Overall!Y6)</f>
        <v>2210.3000000000002</v>
      </c>
    </row>
    <row r="7" spans="1:25" s="10" customFormat="1" x14ac:dyDescent="0.25">
      <c r="A7" s="24" t="str">
        <f>Overall!A7</f>
        <v>Administrative Costs</v>
      </c>
      <c r="B7" s="6">
        <f>IF(ISBLANK(Overall!B7),"",Overall!B7)</f>
        <v>174464.9</v>
      </c>
      <c r="C7" s="6" t="str">
        <f>IF(ISBLANK(Overall!C7),"",Overall!C7)</f>
        <v/>
      </c>
      <c r="D7" s="6">
        <f>IF(ISBLANK(Overall!D7),"",Overall!D7)</f>
        <v>27427.4</v>
      </c>
      <c r="E7" s="6">
        <f>IF(ISBLANK(Overall!E7),"",Overall!E7)</f>
        <v>13265.36</v>
      </c>
      <c r="F7" s="6" t="str">
        <f>IF(ISBLANK(Overall!G7),"",Overall!G7)</f>
        <v/>
      </c>
      <c r="G7" s="6">
        <f>IF(ISBLANK(Overall!H7),"",Overall!H7)</f>
        <v>34769.61</v>
      </c>
      <c r="H7" s="6" t="str">
        <f>IF(ISBLANK(Overall!I7),"",Overall!I7)</f>
        <v/>
      </c>
      <c r="I7" s="6" t="str">
        <f>IF(ISBLANK(Overall!J7),"",Overall!J7)</f>
        <v/>
      </c>
      <c r="J7" s="6" t="str">
        <f>IF(ISBLANK(Overall!K7),"",Overall!K7)</f>
        <v/>
      </c>
      <c r="K7" s="6" t="str">
        <f>IF(ISBLANK(Overall!L7),"",Overall!L7)</f>
        <v/>
      </c>
      <c r="L7" s="6" t="str">
        <f>IF(ISBLANK(Overall!M7),"",Overall!M7)</f>
        <v/>
      </c>
      <c r="M7" s="6" t="e">
        <f>IF(ISBLANK(Overall!#REF!),"",Overall!#REF!)</f>
        <v>#REF!</v>
      </c>
      <c r="N7" s="6">
        <f>IF(ISBLANK(Overall!N7),"",Overall!N7)</f>
        <v>84740.31</v>
      </c>
      <c r="O7" s="6" t="str">
        <f>IF(ISBLANK(Overall!O7),"",Overall!O7)</f>
        <v/>
      </c>
      <c r="P7" s="6">
        <f>IF(ISBLANK(Overall!P7),"",Overall!P7)</f>
        <v>110395.03</v>
      </c>
      <c r="Q7" s="6">
        <f>IF(ISBLANK(Overall!Q7),"",Overall!Q7)</f>
        <v>8356.77</v>
      </c>
      <c r="R7" s="6">
        <f>IF(ISBLANK(Overall!R7),"",Overall!R7)</f>
        <v>1808.95</v>
      </c>
      <c r="S7" s="6">
        <f>IF(ISBLANK(Overall!S7),"",Overall!S7)</f>
        <v>506.33</v>
      </c>
      <c r="T7" s="6" t="str">
        <f>IF(ISBLANK(Overall!T7),"",Overall!T7)</f>
        <v/>
      </c>
      <c r="U7" s="6" t="str">
        <f>IF(ISBLANK(Overall!U7),"",Overall!U7)</f>
        <v/>
      </c>
      <c r="V7" s="6" t="str">
        <f>IF(ISBLANK(Overall!V7),"",Overall!V7)</f>
        <v/>
      </c>
      <c r="W7" s="6" t="str">
        <f>IF(ISBLANK(Overall!W7),"",Overall!W7)</f>
        <v/>
      </c>
      <c r="X7" s="6" t="str">
        <f>IF(ISBLANK(Overall!X7),"",Overall!X7)</f>
        <v/>
      </c>
      <c r="Y7" s="6" t="str">
        <f>IF(ISBLANK(Overall!Y7),"",Overall!Y7)</f>
        <v/>
      </c>
    </row>
    <row r="8" spans="1:25" s="23" customFormat="1" x14ac:dyDescent="0.25">
      <c r="A8" s="28" t="str">
        <f>Overall!A8</f>
        <v>% of Admin Cost</v>
      </c>
      <c r="B8" s="8">
        <f>IF(ISBLANK(Overall!B8),"",Overall!B8)</f>
        <v>0.14144886955075345</v>
      </c>
      <c r="C8" s="8">
        <f>IF(ISBLANK(Overall!C8),"",Overall!C8)</f>
        <v>0</v>
      </c>
      <c r="D8" s="8">
        <f>IF(ISBLANK(Overall!D8),"",Overall!D8)</f>
        <v>2.1901281733717456E-2</v>
      </c>
      <c r="E8" s="8">
        <f>IF(ISBLANK(Overall!E8),"",Overall!E8)</f>
        <v>1.369523479468587E-2</v>
      </c>
      <c r="F8" s="8">
        <f>IF(ISBLANK(Overall!G8),"",Overall!G8)</f>
        <v>0</v>
      </c>
      <c r="G8" s="8">
        <f>IF(ISBLANK(Overall!H8),"",Overall!H8)</f>
        <v>7.7276790476867821E-2</v>
      </c>
      <c r="H8" s="8">
        <f>IF(ISBLANK(Overall!I8),"",Overall!I8)</f>
        <v>0</v>
      </c>
      <c r="I8" s="8">
        <f>IF(ISBLANK(Overall!J8),"",Overall!J8)</f>
        <v>0</v>
      </c>
      <c r="J8" s="8">
        <f>IF(ISBLANK(Overall!K8),"",Overall!K8)</f>
        <v>0</v>
      </c>
      <c r="K8" s="8">
        <f>IF(ISBLANK(Overall!L8),"",Overall!L8)</f>
        <v>0</v>
      </c>
      <c r="L8" s="8">
        <f>IF(ISBLANK(Overall!M8),"",Overall!M8)</f>
        <v>0</v>
      </c>
      <c r="M8" s="8" t="e">
        <f>IF(ISBLANK(Overall!#REF!),"",Overall!#REF!)</f>
        <v>#REF!</v>
      </c>
      <c r="N8" s="8">
        <f>IF(ISBLANK(Overall!N8),"",Overall!N8)</f>
        <v>6.3331549110107174E-2</v>
      </c>
      <c r="O8" s="8">
        <f>IF(ISBLANK(Overall!O8),"",Overall!O8)</f>
        <v>0</v>
      </c>
      <c r="P8" s="8">
        <f>IF(ISBLANK(Overall!P8),"",Overall!P8)</f>
        <v>9.7647641145604522E-2</v>
      </c>
      <c r="Q8" s="8">
        <f>IF(ISBLANK(Overall!Q8),"",Overall!Q8)</f>
        <v>6.9043570277911956E-2</v>
      </c>
      <c r="R8" s="8">
        <f>IF(ISBLANK(Overall!R8),"",Overall!R8)</f>
        <v>3.8364673832936215E-2</v>
      </c>
      <c r="S8" s="8">
        <f>IF(ISBLANK(Overall!S8),"",Overall!S8)</f>
        <v>3.1633110150796589E-2</v>
      </c>
      <c r="T8" s="8">
        <f>IF(ISBLANK(Overall!T8),"",Overall!T8)</f>
        <v>0</v>
      </c>
      <c r="U8" s="8">
        <f>IF(ISBLANK(Overall!U8),"",Overall!U8)</f>
        <v>0</v>
      </c>
      <c r="V8" s="8">
        <f>IF(ISBLANK(Overall!V8),"",Overall!V8)</f>
        <v>0</v>
      </c>
      <c r="W8" s="8">
        <f>IF(ISBLANK(Overall!W8),"",Overall!W8)</f>
        <v>0</v>
      </c>
      <c r="X8" s="8">
        <f>IF(ISBLANK(Overall!X8),"",Overall!X8)</f>
        <v>0</v>
      </c>
      <c r="Y8" s="8">
        <f>IF(ISBLANK(Overall!Y8),"",Overall!Y8)</f>
        <v>0</v>
      </c>
    </row>
    <row r="9" spans="1:25" s="10" customFormat="1" x14ac:dyDescent="0.25">
      <c r="A9" s="24" t="str">
        <f>Overall!A9</f>
        <v>Direct Expenditures</v>
      </c>
      <c r="B9" s="6">
        <f>IF(ISBLANK(Overall!B9),"",Overall!B9)</f>
        <v>769487.63</v>
      </c>
      <c r="C9" s="6">
        <f>IF(ISBLANK(Overall!C9),"",Overall!C9)</f>
        <v>114735</v>
      </c>
      <c r="D9" s="6">
        <f>IF(ISBLANK(Overall!D9),"",Overall!D9)</f>
        <v>725105.88</v>
      </c>
      <c r="E9" s="6">
        <f>IF(ISBLANK(Overall!E9),"",Overall!E9)</f>
        <v>467065.39</v>
      </c>
      <c r="F9" s="6">
        <f>IF(ISBLANK(Overall!G9),"",Overall!G9)</f>
        <v>38876.380000000005</v>
      </c>
      <c r="G9" s="6">
        <f>IF(ISBLANK(Overall!H9),"",Overall!H9)</f>
        <v>246959.76</v>
      </c>
      <c r="H9" s="6">
        <f>IF(ISBLANK(Overall!I9),"",Overall!I9)</f>
        <v>7583</v>
      </c>
      <c r="I9" s="6">
        <f>IF(ISBLANK(Overall!J9),"",Overall!J9)</f>
        <v>37969.21</v>
      </c>
      <c r="J9" s="6">
        <f>IF(ISBLANK(Overall!K9),"",Overall!K9)</f>
        <v>54413</v>
      </c>
      <c r="K9" s="6">
        <f>IF(ISBLANK(Overall!L9),"",Overall!L9)</f>
        <v>54685.7</v>
      </c>
      <c r="L9" s="6">
        <f>IF(ISBLANK(Overall!M9),"",Overall!M9)</f>
        <v>60000</v>
      </c>
      <c r="M9" s="6" t="e">
        <f>IF(ISBLANK(Overall!#REF!),"",Overall!#REF!)</f>
        <v>#REF!</v>
      </c>
      <c r="N9" s="6">
        <f>IF(ISBLANK(Overall!N9),"",Overall!N9)</f>
        <v>1194643.27</v>
      </c>
      <c r="O9" s="6">
        <f>IF(ISBLANK(Overall!O9),"",Overall!O9)</f>
        <v>45031</v>
      </c>
      <c r="P9" s="6">
        <f>IF(ISBLANK(Overall!P9),"",Overall!P9)</f>
        <v>945666.77</v>
      </c>
      <c r="Q9" s="6">
        <f>IF(ISBLANK(Overall!Q9),"",Overall!Q9)</f>
        <v>107365.68000000001</v>
      </c>
      <c r="R9" s="6">
        <f>IF(ISBLANK(Overall!R9),"",Overall!R9)</f>
        <v>44960.06</v>
      </c>
      <c r="S9" s="6">
        <f>IF(ISBLANK(Overall!S9),"",Overall!S9)</f>
        <v>11953.11</v>
      </c>
      <c r="T9" s="6">
        <f>IF(ISBLANK(Overall!T9),"",Overall!T9)</f>
        <v>940</v>
      </c>
      <c r="U9" s="6">
        <f>IF(ISBLANK(Overall!U9),"",Overall!U9)</f>
        <v>260</v>
      </c>
      <c r="V9" s="6">
        <f>IF(ISBLANK(Overall!V9),"",Overall!V9)</f>
        <v>2771.96</v>
      </c>
      <c r="W9" s="6">
        <f>IF(ISBLANK(Overall!W9),"",Overall!W9)</f>
        <v>1030.71</v>
      </c>
      <c r="X9" s="6">
        <f>IF(ISBLANK(Overall!X9),"",Overall!X9)</f>
        <v>2143.02</v>
      </c>
      <c r="Y9" s="6">
        <f>IF(ISBLANK(Overall!Y9),"",Overall!Y9)</f>
        <v>1653.4</v>
      </c>
    </row>
    <row r="10" spans="1:25" s="23" customFormat="1" x14ac:dyDescent="0.25">
      <c r="A10" s="28" t="str">
        <f>Overall!A10</f>
        <v>% of Direct Expenditures</v>
      </c>
      <c r="B10" s="8">
        <f>IF(ISBLANK(Overall!B10),"",Overall!B10)</f>
        <v>0.62386849960529844</v>
      </c>
      <c r="C10" s="8">
        <f>IF(ISBLANK(Overall!C10),"",Overall!C10)</f>
        <v>1</v>
      </c>
      <c r="D10" s="8">
        <f>IF(ISBLANK(Overall!D10),"",Overall!D10)</f>
        <v>0.57901033873626817</v>
      </c>
      <c r="E10" s="8">
        <f>IF(ISBLANK(Overall!E10),"",Overall!E10)</f>
        <v>0.48220102436130835</v>
      </c>
      <c r="F10" s="8">
        <f>IF(ISBLANK(Overall!G10),"",Overall!G10)</f>
        <v>0.46457806158025028</v>
      </c>
      <c r="G10" s="8">
        <f>IF(ISBLANK(Overall!H10),"",Overall!H10)</f>
        <v>0.54887752924860422</v>
      </c>
      <c r="H10" s="8">
        <f>IF(ISBLANK(Overall!I10),"",Overall!I10)</f>
        <v>1</v>
      </c>
      <c r="I10" s="8">
        <f>IF(ISBLANK(Overall!J10),"",Overall!J10)</f>
        <v>1</v>
      </c>
      <c r="J10" s="8">
        <f>IF(ISBLANK(Overall!K10),"",Overall!K10)</f>
        <v>0.75004824525128888</v>
      </c>
      <c r="K10" s="8">
        <f>IF(ISBLANK(Overall!L10),"",Overall!L10)</f>
        <v>1</v>
      </c>
      <c r="L10" s="8">
        <f>IF(ISBLANK(Overall!M10),"",Overall!M10)</f>
        <v>1</v>
      </c>
      <c r="M10" s="8" t="e">
        <f>IF(ISBLANK(Overall!#REF!),"",Overall!#REF!)</f>
        <v>#REF!</v>
      </c>
      <c r="N10" s="8">
        <f>IF(ISBLANK(Overall!N10),"",Overall!N10)</f>
        <v>0.89282903169771299</v>
      </c>
      <c r="O10" s="8">
        <f>IF(ISBLANK(Overall!O10),"",Overall!O10)</f>
        <v>1</v>
      </c>
      <c r="P10" s="8">
        <f>IF(ISBLANK(Overall!P10),"",Overall!P10)</f>
        <v>0.83646998782719595</v>
      </c>
      <c r="Q10" s="8">
        <f>IF(ISBLANK(Overall!Q10),"",Overall!Q10)</f>
        <v>0.8870544328150477</v>
      </c>
      <c r="R10" s="8">
        <f>IF(ISBLANK(Overall!R10),"",Overall!R10)</f>
        <v>0.95352444092387401</v>
      </c>
      <c r="S10" s="8">
        <f>IF(ISBLANK(Overall!S10),"",Overall!S10)</f>
        <v>0.74677393256292979</v>
      </c>
      <c r="T10" s="8">
        <f>IF(ISBLANK(Overall!T10),"",Overall!T10)</f>
        <v>7.5635661409719987E-2</v>
      </c>
      <c r="U10" s="8">
        <f>IF(ISBLANK(Overall!U10),"",Overall!U10)</f>
        <v>1.6102062302594908E-2</v>
      </c>
      <c r="V10" s="8">
        <f>IF(ISBLANK(Overall!V10),"",Overall!V10)</f>
        <v>0.25718710074884094</v>
      </c>
      <c r="W10" s="8">
        <f>IF(ISBLANK(Overall!W10),"",Overall!W10)</f>
        <v>0.52884043099025146</v>
      </c>
      <c r="X10" s="8">
        <f>IF(ISBLANK(Overall!X10),"",Overall!X10)</f>
        <v>0.55540523729551527</v>
      </c>
      <c r="Y10" s="8">
        <f>IF(ISBLANK(Overall!Y10),"",Overall!Y10)</f>
        <v>0.74804325204723343</v>
      </c>
    </row>
    <row r="11" spans="1:25" s="10" customFormat="1" x14ac:dyDescent="0.25">
      <c r="A11" s="24" t="str">
        <f>Overall!A11</f>
        <v>Indirect Expenditures</v>
      </c>
      <c r="B11" s="6">
        <f>IF(ISBLANK(Overall!B11),"",Overall!B11)</f>
        <v>45386.63</v>
      </c>
      <c r="C11" s="6" t="str">
        <f>IF(ISBLANK(Overall!C11),"",Overall!C11)</f>
        <v/>
      </c>
      <c r="D11" s="6" t="str">
        <f>IF(ISBLANK(Overall!D11),"",Overall!D11)</f>
        <v/>
      </c>
      <c r="E11" s="6" t="str">
        <f>IF(ISBLANK(Overall!E11),"",Overall!E11)</f>
        <v/>
      </c>
      <c r="F11" s="6">
        <f>IF(ISBLANK(Overall!G11),"",Overall!G11)</f>
        <v>276.74</v>
      </c>
      <c r="G11" s="6">
        <f>IF(ISBLANK(Overall!H11),"",Overall!H11)</f>
        <v>12407.37</v>
      </c>
      <c r="H11" s="6" t="str">
        <f>IF(ISBLANK(Overall!I11),"",Overall!I11)</f>
        <v/>
      </c>
      <c r="I11" s="6" t="str">
        <f>IF(ISBLANK(Overall!J11),"",Overall!J11)</f>
        <v/>
      </c>
      <c r="J11" s="6" t="str">
        <f>IF(ISBLANK(Overall!K11),"",Overall!K11)</f>
        <v/>
      </c>
      <c r="K11" s="6" t="str">
        <f>IF(ISBLANK(Overall!L11),"",Overall!L11)</f>
        <v/>
      </c>
      <c r="L11" s="6" t="str">
        <f>IF(ISBLANK(Overall!M11),"",Overall!M11)</f>
        <v/>
      </c>
      <c r="M11" s="6" t="e">
        <f>IF(ISBLANK(Overall!#REF!),"",Overall!#REF!)</f>
        <v>#REF!</v>
      </c>
      <c r="N11" s="6">
        <f>IF(ISBLANK(Overall!N11),"",Overall!N11)</f>
        <v>58659.01</v>
      </c>
      <c r="O11" s="6" t="str">
        <f>IF(ISBLANK(Overall!O11),"",Overall!O11)</f>
        <v/>
      </c>
      <c r="P11" s="6">
        <f>IF(ISBLANK(Overall!P11),"",Overall!P11)</f>
        <v>74482.97</v>
      </c>
      <c r="Q11" s="6">
        <f>IF(ISBLANK(Overall!Q11),"",Overall!Q11)</f>
        <v>5313.73</v>
      </c>
      <c r="R11" s="6">
        <f>IF(ISBLANK(Overall!R11),"",Overall!R11)</f>
        <v>382.44</v>
      </c>
      <c r="S11" s="6" t="str">
        <f>IF(ISBLANK(Overall!S11),"",Overall!S11)</f>
        <v/>
      </c>
      <c r="T11" s="6" t="str">
        <f>IF(ISBLANK(Overall!T11),"",Overall!T11)</f>
        <v/>
      </c>
      <c r="U11" s="6" t="str">
        <f>IF(ISBLANK(Overall!U11),"",Overall!U11)</f>
        <v/>
      </c>
      <c r="V11" s="6">
        <f>IF(ISBLANK(Overall!V11),"",Overall!V11)</f>
        <v>722.03</v>
      </c>
      <c r="W11" s="6">
        <f>IF(ISBLANK(Overall!W11),"",Overall!W11)</f>
        <v>331.61</v>
      </c>
      <c r="X11" s="6">
        <f>IF(ISBLANK(Overall!X11),"",Overall!X11)</f>
        <v>522.46</v>
      </c>
      <c r="Y11" s="6">
        <f>IF(ISBLANK(Overall!Y11),"",Overall!Y11)</f>
        <v>556.9</v>
      </c>
    </row>
    <row r="12" spans="1:25" s="23" customFormat="1" x14ac:dyDescent="0.25">
      <c r="A12" s="28" t="str">
        <f>Overall!A12</f>
        <v>% of Indirect Expenditures</v>
      </c>
      <c r="B12" s="8">
        <f>IF(ISBLANK(Overall!B12),"",Overall!B12)</f>
        <v>3.6797587974534203E-2</v>
      </c>
      <c r="C12" s="8">
        <f>IF(ISBLANK(Overall!C12),"",Overall!C12)</f>
        <v>0</v>
      </c>
      <c r="D12" s="8">
        <f>IF(ISBLANK(Overall!D12),"",Overall!D12)</f>
        <v>0</v>
      </c>
      <c r="E12" s="8">
        <f>IF(ISBLANK(Overall!E12),"",Overall!E12)</f>
        <v>0</v>
      </c>
      <c r="F12" s="8">
        <f>IF(ISBLANK(Overall!G12),"",Overall!G12)</f>
        <v>3.3070808743437133E-3</v>
      </c>
      <c r="G12" s="8">
        <f>IF(ISBLANK(Overall!H12),"",Overall!H12)</f>
        <v>2.7575855232744213E-2</v>
      </c>
      <c r="H12" s="8">
        <f>IF(ISBLANK(Overall!I12),"",Overall!I12)</f>
        <v>0</v>
      </c>
      <c r="I12" s="8">
        <f>IF(ISBLANK(Overall!J12),"",Overall!J12)</f>
        <v>0</v>
      </c>
      <c r="J12" s="8">
        <f>IF(ISBLANK(Overall!K12),"",Overall!K12)</f>
        <v>0</v>
      </c>
      <c r="K12" s="8">
        <f>IF(ISBLANK(Overall!L12),"",Overall!L12)</f>
        <v>0</v>
      </c>
      <c r="L12" s="8">
        <f>IF(ISBLANK(Overall!M12),"",Overall!M12)</f>
        <v>0</v>
      </c>
      <c r="M12" s="8" t="e">
        <f>IF(ISBLANK(Overall!#REF!),"",Overall!#REF!)</f>
        <v>#REF!</v>
      </c>
      <c r="N12" s="8">
        <f>IF(ISBLANK(Overall!N12),"",Overall!N12)</f>
        <v>4.3839419192179825E-2</v>
      </c>
      <c r="O12" s="8">
        <f>IF(ISBLANK(Overall!O12),"",Overall!O12)</f>
        <v>0</v>
      </c>
      <c r="P12" s="8">
        <f>IF(ISBLANK(Overall!P12),"",Overall!P12)</f>
        <v>6.5882371027199571E-2</v>
      </c>
      <c r="Q12" s="8">
        <f>IF(ISBLANK(Overall!Q12),"",Overall!Q12)</f>
        <v>4.3901996907040525E-2</v>
      </c>
      <c r="R12" s="8">
        <f>IF(ISBLANK(Overall!R12),"",Overall!R12)</f>
        <v>8.1108852431897652E-3</v>
      </c>
      <c r="S12" s="8">
        <f>IF(ISBLANK(Overall!S12),"",Overall!S12)</f>
        <v>0</v>
      </c>
      <c r="T12" s="8">
        <f>IF(ISBLANK(Overall!T12),"",Overall!T12)</f>
        <v>0</v>
      </c>
      <c r="U12" s="8">
        <f>IF(ISBLANK(Overall!U12),"",Overall!U12)</f>
        <v>0</v>
      </c>
      <c r="V12" s="8">
        <f>IF(ISBLANK(Overall!V12),"",Overall!V12)</f>
        <v>6.6991155122615623E-2</v>
      </c>
      <c r="W12" s="8">
        <f>IF(ISBLANK(Overall!W12),"",Overall!W12)</f>
        <v>0.17014366341713699</v>
      </c>
      <c r="X12" s="8">
        <f>IF(ISBLANK(Overall!X12),"",Overall!X12)</f>
        <v>0.13540565196657753</v>
      </c>
      <c r="Y12" s="8">
        <f>IF(ISBLANK(Overall!Y12),"",Overall!Y12)</f>
        <v>0.25195674795276657</v>
      </c>
    </row>
    <row r="13" spans="1:25" s="10" customFormat="1" x14ac:dyDescent="0.25">
      <c r="A13" s="24" t="str">
        <f>Overall!A13</f>
        <v>Unexpended Funds</v>
      </c>
      <c r="B13" s="6">
        <f>IF(ISBLANK(Overall!B13),"",Overall!B13)</f>
        <v>244074.02000000025</v>
      </c>
      <c r="C13" s="6">
        <f>IF(ISBLANK(Overall!C13),"",Overall!C13)</f>
        <v>0</v>
      </c>
      <c r="D13" s="6">
        <f>IF(ISBLANK(Overall!D13),"",Overall!D13)</f>
        <v>499786.12</v>
      </c>
      <c r="E13" s="6">
        <f>IF(ISBLANK(Overall!E13),"",Overall!E13)</f>
        <v>488280.61</v>
      </c>
      <c r="F13" s="6">
        <f>IF(ISBLANK(Overall!G13),"",Overall!G13)</f>
        <v>44527.93</v>
      </c>
      <c r="G13" s="6">
        <f>IF(ISBLANK(Overall!H13),"",Overall!H13)</f>
        <v>155799.26</v>
      </c>
      <c r="H13" s="6">
        <f>IF(ISBLANK(Overall!I13),"",Overall!I13)</f>
        <v>0</v>
      </c>
      <c r="I13" s="6">
        <f>IF(ISBLANK(Overall!J13),"",Overall!J13)</f>
        <v>0</v>
      </c>
      <c r="J13" s="6">
        <f>IF(ISBLANK(Overall!K13),"",Overall!K13)</f>
        <v>18133</v>
      </c>
      <c r="K13" s="6">
        <f>IF(ISBLANK(Overall!L13),"",Overall!L13)</f>
        <v>0</v>
      </c>
      <c r="L13" s="6">
        <f>IF(ISBLANK(Overall!M13),"",Overall!M13)</f>
        <v>0</v>
      </c>
      <c r="M13" s="6" t="e">
        <f>IF(ISBLANK(Overall!#REF!),"",Overall!#REF!)</f>
        <v>#REF!</v>
      </c>
      <c r="N13" s="6">
        <f>IF(ISBLANK(Overall!N13),"",Overall!N13)</f>
        <v>0</v>
      </c>
      <c r="O13" s="6">
        <f>IF(ISBLANK(Overall!O13),"",Overall!O13)</f>
        <v>0</v>
      </c>
      <c r="P13" s="6">
        <f>IF(ISBLANK(Overall!P13),"",Overall!P13)</f>
        <v>0</v>
      </c>
      <c r="Q13" s="6">
        <f>IF(ISBLANK(Overall!Q13),"",Overall!Q13)</f>
        <v>-1.8189894035458565E-11</v>
      </c>
      <c r="R13" s="6">
        <f>IF(ISBLANK(Overall!R13),"",Overall!R13)</f>
        <v>2.3305801732931286E-12</v>
      </c>
      <c r="S13" s="6">
        <f>IF(ISBLANK(Overall!S13),"",Overall!S13)</f>
        <v>3546.8899999999994</v>
      </c>
      <c r="T13" s="6">
        <f>IF(ISBLANK(Overall!T13),"",Overall!T13)</f>
        <v>11488</v>
      </c>
      <c r="U13" s="6">
        <f>IF(ISBLANK(Overall!U13),"",Overall!U13)</f>
        <v>15887</v>
      </c>
      <c r="V13" s="6">
        <f>IF(ISBLANK(Overall!V13),"",Overall!V13)</f>
        <v>7284</v>
      </c>
      <c r="W13" s="6">
        <f>IF(ISBLANK(Overall!W13),"",Overall!W13)</f>
        <v>586.67999999999995</v>
      </c>
      <c r="X13" s="6">
        <f>IF(ISBLANK(Overall!X13),"",Overall!X13)</f>
        <v>1193</v>
      </c>
      <c r="Y13" s="6">
        <f>IF(ISBLANK(Overall!Y13),"",Overall!Y13)</f>
        <v>0</v>
      </c>
    </row>
    <row r="14" spans="1:25" ht="32.25" customHeight="1" x14ac:dyDescent="0.25">
      <c r="A14" s="27" t="str">
        <f>Overall!A14</f>
        <v>Explanation of Unexpended Funds</v>
      </c>
      <c r="B14" s="7" t="str">
        <f>IF(ISBLANK(Overall!B14),"",Overall!B14)</f>
        <v xml:space="preserve"> ARPA funds expire 9/30/25; Used carryover funds frrom prior year before using regular funds.</v>
      </c>
      <c r="C14" s="7" t="str">
        <f>IF(ISBLANK(Overall!C14),"",Overall!C14)</f>
        <v/>
      </c>
      <c r="D14" s="7" t="str">
        <f>IF(ISBLANK(Overall!D14),"",Overall!D14)</f>
        <v xml:space="preserve"> ARPA funds expire 9/30/25; Used carryover funds from prior year before using regular funds.</v>
      </c>
      <c r="E14" s="7" t="str">
        <f>IF(ISBLANK(Overall!E14),"",Overall!E14)</f>
        <v xml:space="preserve"> ARPA funds expire 9/30/25; Used carryover funds from prior year before using regular funds.</v>
      </c>
      <c r="F14" s="7" t="str">
        <f>IF(ISBLANK(Overall!G14),"",Overall!G14)</f>
        <v xml:space="preserve"> ARPA funds expire 9/30/25; Used carryover funds from prior year before using regular funds.</v>
      </c>
      <c r="G14" s="7" t="str">
        <f>IF(ISBLANK(Overall!H14),"",Overall!H14)</f>
        <v xml:space="preserve"> ARPA funds expire 9/30/25; Used carryover funds from prior year before using regular funds.</v>
      </c>
      <c r="H14" s="7" t="str">
        <f>IF(ISBLANK(Overall!I14),"",Overall!I14)</f>
        <v/>
      </c>
      <c r="I14" s="7" t="str">
        <f>IF(ISBLANK(Overall!J14),"",Overall!J14)</f>
        <v/>
      </c>
      <c r="J14" s="7" t="str">
        <f>IF(ISBLANK(Overall!K14),"",Overall!K14)</f>
        <v>Runs from Oct - Sept</v>
      </c>
      <c r="K14" s="7" t="str">
        <f>IF(ISBLANK(Overall!L14),"",Overall!L14)</f>
        <v/>
      </c>
      <c r="L14" s="7" t="str">
        <f>IF(ISBLANK(Overall!M14),"",Overall!M14)</f>
        <v/>
      </c>
      <c r="M14" s="7" t="e">
        <f>IF(ISBLANK(Overall!#REF!),"",Overall!#REF!)</f>
        <v>#REF!</v>
      </c>
      <c r="N14" s="7" t="str">
        <f>IF(ISBLANK(Overall!N14),"",Overall!N14)</f>
        <v/>
      </c>
      <c r="O14" s="7" t="str">
        <f>IF(ISBLANK(Overall!O14),"",Overall!O14)</f>
        <v/>
      </c>
      <c r="P14" s="7" t="str">
        <f>IF(ISBLANK(Overall!P14),"",Overall!P14)</f>
        <v/>
      </c>
      <c r="Q14" s="7" t="str">
        <f>IF(ISBLANK(Overall!Q14),"",Overall!Q14)</f>
        <v/>
      </c>
      <c r="R14" s="7" t="str">
        <f>IF(ISBLANK(Overall!R14),"",Overall!R14)</f>
        <v/>
      </c>
      <c r="S14" s="7" t="str">
        <f>IF(ISBLANK(Overall!S14),"",Overall!S14)</f>
        <v>Funds not needed</v>
      </c>
      <c r="T14" s="7" t="str">
        <f>IF(ISBLANK(Overall!T14),"",Overall!T14)</f>
        <v>Award runs from Sept - Aug</v>
      </c>
      <c r="U14" s="7" t="str">
        <f>IF(ISBLANK(Overall!U14),"",Overall!U14)</f>
        <v>KLA had no clients that needed services</v>
      </c>
      <c r="V14" s="7" t="str">
        <f>IF(ISBLANK(Overall!V14),"",Overall!V14)</f>
        <v>Award runs from Sept - Aug</v>
      </c>
      <c r="W14" s="7" t="str">
        <f>IF(ISBLANK(Overall!W14),"",Overall!W14)</f>
        <v>No clients that needed services</v>
      </c>
      <c r="X14" s="7" t="str">
        <f>IF(ISBLANK(Overall!X14),"",Overall!X14)</f>
        <v>Award runs from Sept - Aug</v>
      </c>
      <c r="Y14" s="7" t="str">
        <f>IF(ISBLANK(Overall!Y14),"",Overall!Y14)</f>
        <v/>
      </c>
    </row>
    <row r="16" spans="1:25" s="1" customFormat="1" ht="30" x14ac:dyDescent="0.25">
      <c r="A16" s="5" t="str">
        <f>Overall!A16</f>
        <v>List of Direct Services provided by ADD</v>
      </c>
      <c r="B16" s="5" t="str">
        <f>IF(ISBLANK(Overall!B16),"",Overall!B16)</f>
        <v>CM &amp; Assessment</v>
      </c>
      <c r="C16" s="5" t="str">
        <f>IF(ISBLANK(Overall!C16),"",Overall!C16)</f>
        <v/>
      </c>
      <c r="D16" s="5" t="str">
        <f>IF(ISBLANK(Overall!D16),"",Overall!D16)</f>
        <v/>
      </c>
      <c r="E16" s="5" t="str">
        <f>IF(ISBLANK(Overall!E16),"",Overall!E16)</f>
        <v/>
      </c>
      <c r="F16" s="5" t="str">
        <f>IF(ISBLANK(Overall!G16),"",Overall!G16)</f>
        <v>Walk with Ease</v>
      </c>
      <c r="G16" s="5" t="str">
        <f>IF(ISBLANK(Overall!H16),"",Overall!H16)</f>
        <v>Coordination</v>
      </c>
      <c r="H16" s="5" t="str">
        <f>IF(ISBLANK(Overall!I16),"",Overall!I16)</f>
        <v/>
      </c>
      <c r="I16" s="5" t="str">
        <f>IF(ISBLANK(Overall!J16),"",Overall!J16)</f>
        <v/>
      </c>
      <c r="J16" s="5" t="str">
        <f>IF(ISBLANK(Overall!K16),"",Overall!K16)</f>
        <v/>
      </c>
      <c r="K16" s="5" t="str">
        <f>IF(ISBLANK(Overall!L16),"",Overall!L16)</f>
        <v/>
      </c>
      <c r="L16" s="5" t="str">
        <f>IF(ISBLANK(Overall!M16),"",Overall!M16)</f>
        <v>Coordination</v>
      </c>
      <c r="M16" s="5" t="e">
        <f>IF(ISBLANK(Overall!#REF!),"",Overall!#REF!)</f>
        <v>#REF!</v>
      </c>
      <c r="N16" s="5" t="str">
        <f>IF(ISBLANK(Overall!N16),"",Overall!N16)</f>
        <v>CM &amp; Assessment</v>
      </c>
      <c r="O16" s="5" t="str">
        <f>IF(ISBLANK(Overall!O16),"",Overall!O16)</f>
        <v/>
      </c>
      <c r="P16" s="5" t="str">
        <f>IF(ISBLANK(Overall!P16),"",Overall!P16)</f>
        <v/>
      </c>
      <c r="Q16" s="5" t="str">
        <f>IF(ISBLANK(Overall!Q16),"",Overall!Q16)</f>
        <v>Coordination &amp; Evaluation</v>
      </c>
      <c r="R16" s="5" t="str">
        <f>IF(ISBLANK(Overall!R16),"",Overall!R16)</f>
        <v>Benefits Counseling</v>
      </c>
      <c r="S16" s="5" t="str">
        <f>IF(ISBLANK(Overall!S16),"",Overall!S16)</f>
        <v/>
      </c>
      <c r="T16" s="5" t="str">
        <f>IF(ISBLANK(Overall!T16),"",Overall!T16)</f>
        <v/>
      </c>
      <c r="U16" s="5" t="str">
        <f>IF(ISBLANK(Overall!U16),"",Overall!U16)</f>
        <v/>
      </c>
      <c r="V16" s="5" t="str">
        <f>IF(ISBLANK(Overall!V16),"",Overall!V16)</f>
        <v>Coordination</v>
      </c>
      <c r="W16" s="5" t="str">
        <f>IF(ISBLANK(Overall!W16),"",Overall!W16)</f>
        <v>Coordination</v>
      </c>
      <c r="X16" s="5" t="str">
        <f>IF(ISBLANK(Overall!X16),"",Overall!X16)</f>
        <v>Coordination</v>
      </c>
      <c r="Y16" s="5" t="str">
        <f>IF(ISBLANK(Overall!Y16),"",Overall!Y16)</f>
        <v>Coordination</v>
      </c>
    </row>
    <row r="18" spans="1:25" ht="60" x14ac:dyDescent="0.25">
      <c r="A18" s="40" t="str">
        <f>Overall!A18</f>
        <v>Direct Service Providers/Contractors Contracted by ADD and services provided</v>
      </c>
      <c r="B18" s="5" t="str">
        <f>IF(ISBLANK(Overall!B18),"",Overall!B18)</f>
        <v>CASK/I&amp;A, outreach, transportation, telephone, public information</v>
      </c>
      <c r="C18" s="5" t="str">
        <f>IF(ISBLANK(Overall!C18),"",Overall!C18)</f>
        <v>KLA/Ombudsman</v>
      </c>
      <c r="D18" s="5" t="str">
        <f>IF(ISBLANK(Overall!D18),"",Overall!D18)</f>
        <v>CASK/congregate meals delivery</v>
      </c>
      <c r="E18" s="5" t="str">
        <f>IF(ISBLANK(Overall!E18),"",Overall!E18)</f>
        <v>CASK/home delivered delivery</v>
      </c>
      <c r="F18" s="5" t="str">
        <f>IF(ISBLANK(Overall!G18),"",Overall!G18)</f>
        <v>CASK/Tai Chi &amp; bingocize</v>
      </c>
      <c r="G18" s="5" t="str">
        <f>IF(ISBLANK(Overall!H18),"",Overall!H18)</f>
        <v>At HomeCare/respite</v>
      </c>
      <c r="H18" s="5" t="str">
        <f>IF(ISBLANK(Overall!I18),"",Overall!I18)</f>
        <v>KLA/Ombudsman</v>
      </c>
      <c r="I18" s="5" t="str">
        <f>IF(ISBLANK(Overall!J18),"",Overall!J18)</f>
        <v>KLA/Ombudsman</v>
      </c>
      <c r="J18" s="5" t="str">
        <f>IF(ISBLANK(Overall!K18),"",Overall!K18)</f>
        <v>Five Star/food receipts</v>
      </c>
      <c r="K18" s="5" t="str">
        <f>IF(ISBLANK(Overall!L18),"",Overall!L18)</f>
        <v>Five Star/food receipts</v>
      </c>
      <c r="L18" s="5" t="str">
        <f>IF(ISBLANK(Overall!M18),"",Overall!M18)</f>
        <v/>
      </c>
      <c r="M18" s="5" t="e">
        <f>IF(ISBLANK(Overall!#REF!),"",Overall!#REF!)</f>
        <v>#REF!</v>
      </c>
      <c r="N18" s="5" t="str">
        <f>IF(ISBLANK(Overall!N18),"",Overall!N18)</f>
        <v xml:space="preserve">CASK/home delivered &amp; congregate delivery </v>
      </c>
      <c r="O18" s="5" t="str">
        <f>IF(ISBLANK(Overall!O18),"",Overall!O18)</f>
        <v>KLA/Ombudsman</v>
      </c>
      <c r="P18" s="5" t="str">
        <f>IF(ISBLANK(Overall!P18),"",Overall!P18)</f>
        <v>Comfort Keepers/homemaking, personal care, respite, escort</v>
      </c>
      <c r="Q18" s="5" t="str">
        <f>IF(ISBLANK(Overall!Q18),"",Overall!Q18)</f>
        <v>Subsidy</v>
      </c>
      <c r="R18" s="5" t="str">
        <f>IF(ISBLANK(Overall!R18),"",Overall!R18)</f>
        <v>KLA/Benefits Counseling</v>
      </c>
      <c r="S18" s="5" t="str">
        <f>IF(ISBLANK(Overall!S18),"",Overall!S18)</f>
        <v>DAIL Training Funds</v>
      </c>
      <c r="T18" s="5" t="str">
        <f>IF(ISBLANK(Overall!T18),"",Overall!T18)</f>
        <v>KLA/LIS, MSP applications</v>
      </c>
      <c r="U18" s="5" t="str">
        <f>IF(ISBLANK(Overall!U18),"",Overall!U18)</f>
        <v>KLA/LIS, MSP applications</v>
      </c>
      <c r="V18" s="5" t="str">
        <f>IF(ISBLANK(Overall!V18),"",Overall!V18)</f>
        <v/>
      </c>
      <c r="W18" s="5" t="str">
        <f>IF(ISBLANK(Overall!W18),"",Overall!W18)</f>
        <v/>
      </c>
      <c r="X18" s="5" t="str">
        <f>IF(ISBLANK(Overall!X18),"",Overall!X18)</f>
        <v/>
      </c>
      <c r="Y18" s="5" t="str">
        <f>IF(ISBLANK(Overall!Y18),"",Overall!Y18)</f>
        <v/>
      </c>
    </row>
    <row r="19" spans="1:25" s="1" customFormat="1" ht="45" x14ac:dyDescent="0.25">
      <c r="A19" s="40"/>
      <c r="B19" s="5" t="str">
        <f>IF(ISBLANK(Overall!B19),"",Overall!B19)</f>
        <v>KLA/legal assistance</v>
      </c>
      <c r="C19" s="5" t="str">
        <f>IF(ISBLANK(Overall!C19),"",Overall!C19)</f>
        <v/>
      </c>
      <c r="D19" s="5" t="str">
        <f>IF(ISBLANK(Overall!D19),"",Overall!D19)</f>
        <v>Five Star/congregate meals preparation</v>
      </c>
      <c r="E19" s="5" t="str">
        <f>IF(ISBLANK(Overall!E19),"",Overall!E19)</f>
        <v>Five Star/home delivered preparation</v>
      </c>
      <c r="F19" s="5" t="str">
        <f>IF(ISBLANK(Overall!G19),"",Overall!G19)</f>
        <v>WC/BG Parks &amp; rec/Drums Alive &amp; Silver Sneakers</v>
      </c>
      <c r="G19" s="5" t="str">
        <f>IF(ISBLANK(Overall!H19),"",Overall!H19)</f>
        <v>Comfort Keepers/respite</v>
      </c>
      <c r="H19" s="5" t="str">
        <f>IF(ISBLANK(Overall!I19),"",Overall!I19)</f>
        <v/>
      </c>
      <c r="I19" s="5" t="str">
        <f>IF(ISBLANK(Overall!J19),"",Overall!J19)</f>
        <v/>
      </c>
      <c r="J19" s="5" t="str">
        <f>IF(ISBLANK(Overall!K19),"",Overall!K19)</f>
        <v/>
      </c>
      <c r="K19" s="5" t="str">
        <f>IF(ISBLANK(Overall!L19),"",Overall!L19)</f>
        <v/>
      </c>
      <c r="L19" s="5" t="str">
        <f>IF(ISBLANK(Overall!M19),"",Overall!M19)</f>
        <v/>
      </c>
      <c r="M19" s="5" t="e">
        <f>IF(ISBLANK(Overall!#REF!),"",Overall!#REF!)</f>
        <v>#REF!</v>
      </c>
      <c r="N19" s="5" t="str">
        <f>IF(ISBLANK(Overall!N19),"",Overall!N19)</f>
        <v xml:space="preserve">Five Star/home delivered and congregate preparation </v>
      </c>
      <c r="O19" s="5" t="str">
        <f>IF(ISBLANK(Overall!O19),"",Overall!O19)</f>
        <v/>
      </c>
      <c r="P19" s="5" t="str">
        <f>IF(ISBLANK(Overall!P19),"",Overall!P19)</f>
        <v/>
      </c>
      <c r="Q19" s="5" t="str">
        <f>IF(ISBLANK(Overall!Q19),"",Overall!Q19)</f>
        <v/>
      </c>
      <c r="R19" s="5" t="str">
        <f>IF(ISBLANK(Overall!R19),"",Overall!R19)</f>
        <v/>
      </c>
      <c r="S19" s="5" t="str">
        <f>IF(ISBLANK(Overall!S19),"",Overall!S19)</f>
        <v/>
      </c>
      <c r="T19" s="5" t="str">
        <f>IF(ISBLANK(Overall!T19),"",Overall!T19)</f>
        <v/>
      </c>
      <c r="U19" s="5" t="str">
        <f>IF(ISBLANK(Overall!U19),"",Overall!U19)</f>
        <v/>
      </c>
      <c r="V19" s="5" t="str">
        <f>IF(ISBLANK(Overall!V19),"",Overall!V19)</f>
        <v/>
      </c>
      <c r="W19" s="5" t="str">
        <f>IF(ISBLANK(Overall!W19),"",Overall!W19)</f>
        <v/>
      </c>
      <c r="X19" s="5" t="str">
        <f>IF(ISBLANK(Overall!X19),"",Overall!X19)</f>
        <v/>
      </c>
      <c r="Y19" s="5" t="str">
        <f>IF(ISBLANK(Overall!Y19),"",Overall!Y19)</f>
        <v/>
      </c>
    </row>
    <row r="20" spans="1:25" s="1" customFormat="1" ht="60" x14ac:dyDescent="0.25">
      <c r="A20" s="40"/>
      <c r="B20" s="5" t="str">
        <f>IF(ISBLANK(Overall!B20),"",Overall!B20)</f>
        <v>Comfort Keepers /Homemaking, personal care, assisted transportation</v>
      </c>
      <c r="C20" s="5" t="str">
        <f>IF(ISBLANK(Overall!C20),"",Overall!C20)</f>
        <v/>
      </c>
      <c r="D20" s="5" t="str">
        <f>IF(ISBLANK(Overall!D20),"",Overall!D20)</f>
        <v>Esters/congregate meals preparation</v>
      </c>
      <c r="E20" s="5" t="str">
        <f>IF(ISBLANK(Overall!E20),"",Overall!E20)</f>
        <v>GA/frozen meal prep and delivery</v>
      </c>
      <c r="F20" s="5" t="str">
        <f>IF(ISBLANK(Overall!G20),"",Overall!G20)</f>
        <v>Barren Co YMCA/Silver Sneakers</v>
      </c>
      <c r="G20" s="5" t="str">
        <f>IF(ISBLANK(Overall!H20),"",Overall!H20)</f>
        <v>Guardian Medical/supplemental</v>
      </c>
      <c r="H20" s="5" t="str">
        <f>IF(ISBLANK(Overall!I20),"",Overall!I20)</f>
        <v/>
      </c>
      <c r="I20" s="5" t="str">
        <f>IF(ISBLANK(Overall!J20),"",Overall!J20)</f>
        <v/>
      </c>
      <c r="J20" s="5" t="str">
        <f>IF(ISBLANK(Overall!K20),"",Overall!K20)</f>
        <v/>
      </c>
      <c r="K20" s="5" t="str">
        <f>IF(ISBLANK(Overall!L20),"",Overall!L20)</f>
        <v/>
      </c>
      <c r="L20" s="5" t="str">
        <f>IF(ISBLANK(Overall!M20),"",Overall!M20)</f>
        <v/>
      </c>
      <c r="M20" s="5" t="e">
        <f>IF(ISBLANK(Overall!#REF!),"",Overall!#REF!)</f>
        <v>#REF!</v>
      </c>
      <c r="N20" s="5" t="str">
        <f>IF(ISBLANK(Overall!N20),"",Overall!N20)</f>
        <v>GA/frozen meal prep and delivery</v>
      </c>
      <c r="O20" s="5" t="str">
        <f>IF(ISBLANK(Overall!O20),"",Overall!O20)</f>
        <v/>
      </c>
      <c r="P20" s="5" t="str">
        <f>IF(ISBLANK(Overall!P20),"",Overall!P20)</f>
        <v/>
      </c>
      <c r="Q20" s="5" t="str">
        <f>IF(ISBLANK(Overall!Q20),"",Overall!Q20)</f>
        <v/>
      </c>
      <c r="R20" s="5" t="str">
        <f>IF(ISBLANK(Overall!R20),"",Overall!R20)</f>
        <v/>
      </c>
      <c r="S20" s="5" t="str">
        <f>IF(ISBLANK(Overall!S20),"",Overall!S20)</f>
        <v/>
      </c>
      <c r="T20" s="5" t="str">
        <f>IF(ISBLANK(Overall!T20),"",Overall!T20)</f>
        <v/>
      </c>
      <c r="U20" s="5" t="str">
        <f>IF(ISBLANK(Overall!U20),"",Overall!U20)</f>
        <v/>
      </c>
      <c r="V20" s="5" t="str">
        <f>IF(ISBLANK(Overall!V20),"",Overall!V20)</f>
        <v/>
      </c>
      <c r="W20" s="5" t="str">
        <f>IF(ISBLANK(Overall!W20),"",Overall!W20)</f>
        <v/>
      </c>
      <c r="X20" s="5" t="str">
        <f>IF(ISBLANK(Overall!X20),"",Overall!X20)</f>
        <v/>
      </c>
      <c r="Y20" s="5" t="str">
        <f>IF(ISBLANK(Overall!Y20),"",Overall!Y20)</f>
        <v/>
      </c>
    </row>
    <row r="21" spans="1:25" s="1" customFormat="1" ht="30" x14ac:dyDescent="0.25">
      <c r="A21" s="40"/>
      <c r="B21" s="5" t="str">
        <f>IF(ISBLANK(Overall!B21),"",Overall!B21)</f>
        <v/>
      </c>
      <c r="C21" s="5" t="str">
        <f>IF(ISBLANK(Overall!C21),"",Overall!C21)</f>
        <v/>
      </c>
      <c r="D21" s="5" t="str">
        <f>IF(ISBLANK(Overall!D21),"",Overall!D21)</f>
        <v>Barren YMCA/congregate meals delivery</v>
      </c>
      <c r="E21" s="5" t="str">
        <f>IF(ISBLANK(Overall!E21),"",Overall!E21)</f>
        <v>Mom's Meals/meal prep &amp; delivery</v>
      </c>
      <c r="F21" s="5" t="str">
        <f>IF(ISBLANK(Overall!G21),"",Overall!G21)</f>
        <v>Auburn Sr Center/Drums Alive</v>
      </c>
      <c r="G21" s="5" t="s">
        <v>117</v>
      </c>
      <c r="H21" s="5" t="str">
        <f>IF(ISBLANK(Overall!I21),"",Overall!I21)</f>
        <v/>
      </c>
      <c r="I21" s="5" t="str">
        <f>IF(ISBLANK(Overall!J21),"",Overall!J21)</f>
        <v/>
      </c>
      <c r="J21" s="5" t="str">
        <f>IF(ISBLANK(Overall!K21),"",Overall!K21)</f>
        <v/>
      </c>
      <c r="K21" s="5" t="str">
        <f>IF(ISBLANK(Overall!L21),"",Overall!L21)</f>
        <v/>
      </c>
      <c r="L21" s="5" t="str">
        <f>IF(ISBLANK(Overall!M21),"",Overall!M21)</f>
        <v/>
      </c>
      <c r="M21" s="5" t="e">
        <f>IF(ISBLANK(Overall!#REF!),"",Overall!#REF!)</f>
        <v>#REF!</v>
      </c>
      <c r="N21" s="5" t="str">
        <f>IF(ISBLANK(Overall!N21),"",Overall!N21)</f>
        <v>Various pilot projects</v>
      </c>
      <c r="O21" s="5" t="str">
        <f>IF(ISBLANK(Overall!O21),"",Overall!O21)</f>
        <v/>
      </c>
      <c r="P21" s="5" t="str">
        <f>IF(ISBLANK(Overall!P21),"",Overall!P21)</f>
        <v/>
      </c>
      <c r="Q21" s="5" t="str">
        <f>IF(ISBLANK(Overall!Q21),"",Overall!Q21)</f>
        <v/>
      </c>
      <c r="R21" s="5" t="str">
        <f>IF(ISBLANK(Overall!R21),"",Overall!R21)</f>
        <v/>
      </c>
      <c r="S21" s="5" t="str">
        <f>IF(ISBLANK(Overall!S21),"",Overall!S21)</f>
        <v/>
      </c>
      <c r="T21" s="5" t="str">
        <f>IF(ISBLANK(Overall!T21),"",Overall!T21)</f>
        <v/>
      </c>
      <c r="U21" s="5" t="str">
        <f>IF(ISBLANK(Overall!U21),"",Overall!U21)</f>
        <v/>
      </c>
      <c r="V21" s="5" t="str">
        <f>IF(ISBLANK(Overall!V21),"",Overall!V21)</f>
        <v/>
      </c>
      <c r="W21" s="5" t="str">
        <f>IF(ISBLANK(Overall!W21),"",Overall!W21)</f>
        <v/>
      </c>
      <c r="X21" s="5" t="str">
        <f>IF(ISBLANK(Overall!X21),"",Overall!X21)</f>
        <v/>
      </c>
      <c r="Y21" s="5" t="str">
        <f>IF(ISBLANK(Overall!Y21),"",Overall!Y21)</f>
        <v/>
      </c>
    </row>
    <row r="22" spans="1:25" s="1" customFormat="1" x14ac:dyDescent="0.25">
      <c r="A22" s="40"/>
      <c r="B22" s="5" t="s">
        <v>116</v>
      </c>
      <c r="C22" s="5" t="e">
        <f>IF(ISBLANK(Overall!#REF!),"",Overall!#REF!)</f>
        <v>#REF!</v>
      </c>
      <c r="D22" s="5" t="e">
        <f>IF(ISBLANK(Overall!#REF!),"",Overall!#REF!)</f>
        <v>#REF!</v>
      </c>
      <c r="E22" s="5" t="e">
        <f>IF(ISBLANK(Overall!#REF!),"",Overall!#REF!)</f>
        <v>#REF!</v>
      </c>
      <c r="F22" s="5" t="e">
        <f>IF(ISBLANK(Overall!#REF!),"",Overall!#REF!)</f>
        <v>#REF!</v>
      </c>
      <c r="G22" s="5" t="e">
        <f>IF(ISBLANK(Overall!#REF!),"",Overall!#REF!)</f>
        <v>#REF!</v>
      </c>
      <c r="H22" s="5" t="e">
        <f>IF(ISBLANK(Overall!#REF!),"",Overall!#REF!)</f>
        <v>#REF!</v>
      </c>
      <c r="I22" s="5" t="e">
        <f>IF(ISBLANK(Overall!#REF!),"",Overall!#REF!)</f>
        <v>#REF!</v>
      </c>
      <c r="J22" s="5" t="e">
        <f>IF(ISBLANK(Overall!#REF!),"",Overall!#REF!)</f>
        <v>#REF!</v>
      </c>
      <c r="K22" s="5" t="e">
        <f>IF(ISBLANK(Overall!#REF!),"",Overall!#REF!)</f>
        <v>#REF!</v>
      </c>
      <c r="L22" s="5" t="e">
        <f>IF(ISBLANK(Overall!#REF!),"",Overall!#REF!)</f>
        <v>#REF!</v>
      </c>
      <c r="M22" s="5" t="e">
        <f>IF(ISBLANK(Overall!#REF!),"",Overall!#REF!)</f>
        <v>#REF!</v>
      </c>
      <c r="N22" s="5" t="e">
        <f>IF(ISBLANK(Overall!#REF!),"",Overall!#REF!)</f>
        <v>#REF!</v>
      </c>
      <c r="O22" s="5" t="e">
        <f>IF(ISBLANK(Overall!#REF!),"",Overall!#REF!)</f>
        <v>#REF!</v>
      </c>
      <c r="P22" s="5" t="e">
        <f>IF(ISBLANK(Overall!#REF!),"",Overall!#REF!)</f>
        <v>#REF!</v>
      </c>
      <c r="Q22" s="5" t="e">
        <f>IF(ISBLANK(Overall!#REF!),"",Overall!#REF!)</f>
        <v>#REF!</v>
      </c>
      <c r="R22" s="5" t="e">
        <f>IF(ISBLANK(Overall!#REF!),"",Overall!#REF!)</f>
        <v>#REF!</v>
      </c>
      <c r="S22" s="5" t="e">
        <f>IF(ISBLANK(Overall!#REF!),"",Overall!#REF!)</f>
        <v>#REF!</v>
      </c>
      <c r="T22" s="5" t="e">
        <f>IF(ISBLANK(Overall!#REF!),"",Overall!#REF!)</f>
        <v>#REF!</v>
      </c>
      <c r="U22" s="5" t="e">
        <f>IF(ISBLANK(Overall!#REF!),"",Overall!#REF!)</f>
        <v>#REF!</v>
      </c>
      <c r="V22" s="5" t="e">
        <f>IF(ISBLANK(Overall!#REF!),"",Overall!#REF!)</f>
        <v>#REF!</v>
      </c>
      <c r="W22" s="5" t="e">
        <f>IF(ISBLANK(Overall!#REF!),"",Overall!#REF!)</f>
        <v>#REF!</v>
      </c>
      <c r="X22" s="5" t="e">
        <f>IF(ISBLANK(Overall!#REF!),"",Overall!#REF!)</f>
        <v>#REF!</v>
      </c>
      <c r="Y22" s="5" t="e">
        <f>IF(ISBLANK(Overall!#REF!),"",Overall!#REF!)</f>
        <v>#REF!</v>
      </c>
    </row>
    <row r="23" spans="1:25" x14ac:dyDescent="0.25">
      <c r="A23" s="9"/>
    </row>
    <row r="24" spans="1:25" x14ac:dyDescent="0.25">
      <c r="A24" s="5" t="str">
        <f>Overall!A33</f>
        <v>Eligible Persons</v>
      </c>
      <c r="B24" s="7">
        <f>IF(ISBLANK(Overall!B33),"",Overall!B33)</f>
        <v>9001</v>
      </c>
      <c r="C24" s="7">
        <f>IF(ISBLANK(Overall!C33),"",Overall!C33)</f>
        <v>2831</v>
      </c>
      <c r="D24" s="7">
        <f>IF(ISBLANK(Overall!D33),"",Overall!D33)</f>
        <v>940</v>
      </c>
      <c r="E24" s="7">
        <f>IF(ISBLANK(Overall!E33),"",Overall!E33)</f>
        <v>500</v>
      </c>
      <c r="F24" s="7">
        <f>IF(ISBLANK(Overall!G33),"",Overall!G33)</f>
        <v>166</v>
      </c>
      <c r="G24" s="7">
        <f>IF(ISBLANK(Overall!H33),"",Overall!H33)</f>
        <v>145</v>
      </c>
      <c r="H24" s="7">
        <f>IF(ISBLANK(Overall!I33),"",Overall!I33)</f>
        <v>2831</v>
      </c>
      <c r="I24" s="7">
        <f>IF(ISBLANK(Overall!J33),"",Overall!J33)</f>
        <v>2831</v>
      </c>
      <c r="J24" s="7" t="str">
        <f>IF(ISBLANK(Overall!K33),"",Overall!K33)</f>
        <v>N/A</v>
      </c>
      <c r="K24" s="7" t="str">
        <f>IF(ISBLANK(Overall!L33),"",Overall!L33)</f>
        <v>N/A</v>
      </c>
      <c r="L24" s="7">
        <f>IF(ISBLANK(Overall!M33),"",Overall!M33)</f>
        <v>1319</v>
      </c>
      <c r="M24" s="7" t="e">
        <f>IF(ISBLANK(Overall!#REF!),"",Overall!#REF!)</f>
        <v>#REF!</v>
      </c>
      <c r="N24" s="7">
        <f>IF(ISBLANK(Overall!N33),"",Overall!N33)</f>
        <v>975</v>
      </c>
      <c r="O24" s="7">
        <f>IF(ISBLANK(Overall!O33),"",Overall!O33)</f>
        <v>2831</v>
      </c>
      <c r="P24" s="7">
        <f>IF(ISBLANK(Overall!P33),"",Overall!P33)</f>
        <v>349</v>
      </c>
      <c r="Q24" s="7">
        <f>IF(ISBLANK(Overall!Q33),"",Overall!Q33)</f>
        <v>74</v>
      </c>
      <c r="R24" s="7">
        <f>IF(ISBLANK(Overall!R33),"",Overall!R33)</f>
        <v>639</v>
      </c>
      <c r="S24" s="7" t="str">
        <f>IF(ISBLANK(Overall!S33),"",Overall!S33)</f>
        <v>N/A</v>
      </c>
      <c r="T24" s="7">
        <f>IF(ISBLANK(Overall!T33),"",Overall!T33)</f>
        <v>11</v>
      </c>
      <c r="U24" s="7">
        <f>IF(ISBLANK(Overall!U33),"",Overall!U33)</f>
        <v>5</v>
      </c>
      <c r="V24" s="7">
        <f>IF(ISBLANK(Overall!V33),"",Overall!V33)</f>
        <v>22</v>
      </c>
      <c r="W24" s="7">
        <f>IF(ISBLANK(Overall!W33),"",Overall!W33)</f>
        <v>3</v>
      </c>
      <c r="X24" s="7">
        <f>IF(ISBLANK(Overall!X33),"",Overall!X33)</f>
        <v>1</v>
      </c>
      <c r="Y24" s="7">
        <f>IF(ISBLANK(Overall!Y33),"",Overall!Y33)</f>
        <v>0</v>
      </c>
    </row>
    <row r="25" spans="1:25" x14ac:dyDescent="0.25">
      <c r="A25" s="5" t="str">
        <f>Overall!A34</f>
        <v># Persons Served</v>
      </c>
      <c r="B25" s="7">
        <f>IF(ISBLANK(Overall!B34),"",Overall!B34)</f>
        <v>9001</v>
      </c>
      <c r="C25" s="7">
        <f>IF(ISBLANK(Overall!C34),"",Overall!C34)</f>
        <v>2831</v>
      </c>
      <c r="D25" s="7">
        <f>IF(ISBLANK(Overall!D34),"",Overall!D34)</f>
        <v>940</v>
      </c>
      <c r="E25" s="7">
        <f>IF(ISBLANK(Overall!E34),"",Overall!E34)</f>
        <v>500</v>
      </c>
      <c r="F25" s="7">
        <f>IF(ISBLANK(Overall!G34),"",Overall!G34)</f>
        <v>166</v>
      </c>
      <c r="G25" s="7">
        <f>IF(ISBLANK(Overall!H34),"",Overall!H34)</f>
        <v>145</v>
      </c>
      <c r="H25" s="7">
        <f>IF(ISBLANK(Overall!I34),"",Overall!I34)</f>
        <v>2831</v>
      </c>
      <c r="I25" s="7">
        <f>IF(ISBLANK(Overall!J34),"",Overall!J34)</f>
        <v>2831</v>
      </c>
      <c r="J25" s="7" t="str">
        <f>IF(ISBLANK(Overall!K34),"",Overall!K34)</f>
        <v>N/A</v>
      </c>
      <c r="K25" s="7" t="str">
        <f>IF(ISBLANK(Overall!L34),"",Overall!L34)</f>
        <v>N/A</v>
      </c>
      <c r="L25" s="7">
        <f>IF(ISBLANK(Overall!M34),"",Overall!M34)</f>
        <v>1319</v>
      </c>
      <c r="M25" s="7" t="e">
        <f>IF(ISBLANK(Overall!#REF!),"",Overall!#REF!)</f>
        <v>#REF!</v>
      </c>
      <c r="N25" s="7">
        <f>IF(ISBLANK(Overall!N34),"",Overall!N34)</f>
        <v>975</v>
      </c>
      <c r="O25" s="7">
        <f>IF(ISBLANK(Overall!O34),"",Overall!O34)</f>
        <v>2831</v>
      </c>
      <c r="P25" s="7">
        <f>IF(ISBLANK(Overall!P34),"",Overall!P34)</f>
        <v>349</v>
      </c>
      <c r="Q25" s="7">
        <f>IF(ISBLANK(Overall!Q34),"",Overall!Q34)</f>
        <v>74</v>
      </c>
      <c r="R25" s="7">
        <f>IF(ISBLANK(Overall!R34),"",Overall!R34)</f>
        <v>639</v>
      </c>
      <c r="S25" s="7" t="str">
        <f>IF(ISBLANK(Overall!S34),"",Overall!S34)</f>
        <v>N/A</v>
      </c>
      <c r="T25" s="7">
        <f>IF(ISBLANK(Overall!T34),"",Overall!T34)</f>
        <v>11</v>
      </c>
      <c r="U25" s="7">
        <f>IF(ISBLANK(Overall!U34),"",Overall!U34)</f>
        <v>5</v>
      </c>
      <c r="V25" s="7">
        <f>IF(ISBLANK(Overall!V34),"",Overall!V34)</f>
        <v>22</v>
      </c>
      <c r="W25" s="7">
        <f>IF(ISBLANK(Overall!W34),"",Overall!W34)</f>
        <v>3</v>
      </c>
      <c r="X25" s="7">
        <f>IF(ISBLANK(Overall!X34),"",Overall!X34)</f>
        <v>1</v>
      </c>
      <c r="Y25" s="7">
        <f>IF(ISBLANK(Overall!Y34),"",Overall!Y34)</f>
        <v>0</v>
      </c>
    </row>
    <row r="26" spans="1:25" x14ac:dyDescent="0.25">
      <c r="A26" s="5" t="str">
        <f>Overall!A35</f>
        <v># People on Waiting List</v>
      </c>
      <c r="B26" s="7">
        <f>IF(ISBLANK(Overall!B35),"",Overall!B35)</f>
        <v>45</v>
      </c>
      <c r="C26" s="7">
        <f>IF(ISBLANK(Overall!C35),"",Overall!C35)</f>
        <v>0</v>
      </c>
      <c r="D26" s="7">
        <f>IF(ISBLANK(Overall!D35),"",Overall!D35)</f>
        <v>0</v>
      </c>
      <c r="E26" s="7">
        <f>IF(ISBLANK(Overall!E35),"",Overall!E35)</f>
        <v>0</v>
      </c>
      <c r="F26" s="7">
        <f>IF(ISBLANK(Overall!G35),"",Overall!G35)</f>
        <v>0</v>
      </c>
      <c r="G26" s="7">
        <f>IF(ISBLANK(Overall!H35),"",Overall!H35)</f>
        <v>94</v>
      </c>
      <c r="H26" s="7">
        <f>IF(ISBLANK(Overall!I35),"",Overall!I35)</f>
        <v>0</v>
      </c>
      <c r="I26" s="7">
        <f>IF(ISBLANK(Overall!J35),"",Overall!J35)</f>
        <v>0</v>
      </c>
      <c r="J26" s="7">
        <f>IF(ISBLANK(Overall!K35),"",Overall!K35)</f>
        <v>0</v>
      </c>
      <c r="K26" s="7">
        <f>IF(ISBLANK(Overall!L35),"",Overall!L35)</f>
        <v>0</v>
      </c>
      <c r="L26" s="7">
        <f>IF(ISBLANK(Overall!M35),"",Overall!M35)</f>
        <v>0</v>
      </c>
      <c r="M26" s="7" t="e">
        <f>IF(ISBLANK(Overall!#REF!),"",Overall!#REF!)</f>
        <v>#REF!</v>
      </c>
      <c r="N26" s="7">
        <f>IF(ISBLANK(Overall!N35),"",Overall!N35)</f>
        <v>0</v>
      </c>
      <c r="O26" s="7">
        <f>IF(ISBLANK(Overall!O35),"",Overall!O35)</f>
        <v>0</v>
      </c>
      <c r="P26" s="7">
        <f>IF(ISBLANK(Overall!P35),"",Overall!P35)</f>
        <v>49</v>
      </c>
      <c r="Q26" s="7">
        <f>IF(ISBLANK(Overall!Q35),"",Overall!Q35)</f>
        <v>0</v>
      </c>
      <c r="R26" s="7">
        <f>IF(ISBLANK(Overall!R35),"",Overall!R35)</f>
        <v>0</v>
      </c>
      <c r="S26" s="7">
        <f>IF(ISBLANK(Overall!S35),"",Overall!S35)</f>
        <v>0</v>
      </c>
      <c r="T26" s="7">
        <f>IF(ISBLANK(Overall!T35),"",Overall!T35)</f>
        <v>0</v>
      </c>
      <c r="U26" s="7">
        <f>IF(ISBLANK(Overall!U35),"",Overall!U35)</f>
        <v>0</v>
      </c>
      <c r="V26" s="7">
        <f>IF(ISBLANK(Overall!V35),"",Overall!V35)</f>
        <v>0</v>
      </c>
      <c r="W26" s="7">
        <f>IF(ISBLANK(Overall!W35),"",Overall!W35)</f>
        <v>0</v>
      </c>
      <c r="X26" s="7">
        <f>IF(ISBLANK(Overall!X35),"",Overall!X35)</f>
        <v>0</v>
      </c>
      <c r="Y26" s="7">
        <f>IF(ISBLANK(Overall!Y35),"",Overall!Y35)</f>
        <v>0</v>
      </c>
    </row>
    <row r="28" spans="1:25" s="1" customFormat="1" ht="30" x14ac:dyDescent="0.25">
      <c r="A28" s="5" t="str">
        <f>Overall!A37</f>
        <v>Performance Measures</v>
      </c>
      <c r="B28" s="5" t="str">
        <f>IF(ISBLANK(Overall!B37),"",Overall!B37)</f>
        <v>See Master Performance Measure Binder</v>
      </c>
      <c r="C28" s="5" t="str">
        <f>IF(ISBLANK(Overall!C37),"",Overall!C37)</f>
        <v>See Master Performance Measure Binder</v>
      </c>
      <c r="D28" s="5" t="str">
        <f>IF(ISBLANK(Overall!D37),"",Overall!D37)</f>
        <v>See Master Performance Measure Binder</v>
      </c>
      <c r="E28" s="5" t="str">
        <f>IF(ISBLANK(Overall!E37),"",Overall!E37)</f>
        <v>See Master Performance Measure Binder</v>
      </c>
      <c r="F28" s="5" t="str">
        <f>IF(ISBLANK(Overall!G37),"",Overall!G37)</f>
        <v>See Master Performance Measure Binder</v>
      </c>
      <c r="G28" s="5" t="str">
        <f>IF(ISBLANK(Overall!H37),"",Overall!H37)</f>
        <v>See Master Performance Measure Binder</v>
      </c>
      <c r="H28" s="5" t="str">
        <f>IF(ISBLANK(Overall!I37),"",Overall!I37)</f>
        <v>See Master Performance Measure Binder</v>
      </c>
      <c r="I28" s="5" t="str">
        <f>IF(ISBLANK(Overall!J37),"",Overall!J37)</f>
        <v>See Master Performance Measure Binder</v>
      </c>
      <c r="J28" s="5" t="str">
        <f>IF(ISBLANK(Overall!K37),"",Overall!K37)</f>
        <v>See Master Performance Measure Binder</v>
      </c>
      <c r="K28" s="5" t="str">
        <f>IF(ISBLANK(Overall!L37),"",Overall!L37)</f>
        <v>See Master Performance Measure Binder</v>
      </c>
      <c r="L28" s="5" t="str">
        <f>IF(ISBLANK(Overall!M37),"",Overall!M37)</f>
        <v>See Master Performance Measure Binder</v>
      </c>
      <c r="M28" s="5" t="e">
        <f>IF(ISBLANK(Overall!#REF!),"",Overall!#REF!)</f>
        <v>#REF!</v>
      </c>
      <c r="N28" s="5" t="str">
        <f>IF(ISBLANK(Overall!N37),"",Overall!N37)</f>
        <v>See Master Performance Measure Binder</v>
      </c>
      <c r="O28" s="5" t="str">
        <f>IF(ISBLANK(Overall!O37),"",Overall!O37)</f>
        <v>See Master Performance Measure Binder</v>
      </c>
      <c r="P28" s="5" t="str">
        <f>IF(ISBLANK(Overall!P37),"",Overall!P37)</f>
        <v>See Master Performance Measure Binder</v>
      </c>
      <c r="Q28" s="5" t="str">
        <f>IF(ISBLANK(Overall!Q37),"",Overall!Q37)</f>
        <v>See Master Performance Measure Binder</v>
      </c>
      <c r="R28" s="5" t="str">
        <f>IF(ISBLANK(Overall!R37),"",Overall!R37)</f>
        <v>See Master Performance Measure Binder</v>
      </c>
      <c r="S28" s="5" t="str">
        <f>IF(ISBLANK(Overall!S37),"",Overall!S37)</f>
        <v/>
      </c>
      <c r="T28" s="5" t="str">
        <f>IF(ISBLANK(Overall!T37),"",Overall!T37)</f>
        <v>See Master Performance Measure Binder</v>
      </c>
      <c r="U28" s="5" t="str">
        <f>IF(ISBLANK(Overall!U37),"",Overall!U37)</f>
        <v>See Master Performance Measure Binder</v>
      </c>
      <c r="V28" s="5" t="str">
        <f>IF(ISBLANK(Overall!V37),"",Overall!V37)</f>
        <v>See Master Performance Measure Binder</v>
      </c>
      <c r="W28" s="5" t="str">
        <f>IF(ISBLANK(Overall!W37),"",Overall!W37)</f>
        <v>See Master Performance Measure Binder</v>
      </c>
      <c r="X28" s="5" t="str">
        <f>IF(ISBLANK(Overall!X37),"",Overall!X37)</f>
        <v>See Master Performance Measure Binder</v>
      </c>
      <c r="Y28" s="5" t="str">
        <f>IF(ISBLANK(Overall!Y37),"",Overall!Y37)</f>
        <v>See Master Performance Measure Binder</v>
      </c>
    </row>
  </sheetData>
  <mergeCells count="1">
    <mergeCell ref="A18:A22"/>
  </mergeCells>
  <pageMargins left="0.25" right="0.25" top="0.75" bottom="0.75" header="0.3" footer="0.3"/>
  <pageSetup orientation="landscape" r:id="rId1"/>
  <headerFooter>
    <oddHeader>&amp;CBarren River Area Development District
Department for Aging &amp; Independent Living Funds
FY 2017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36"/>
  <sheetViews>
    <sheetView workbookViewId="0">
      <selection activeCell="B7" sqref="B7"/>
    </sheetView>
  </sheetViews>
  <sheetFormatPr defaultColWidth="8.85546875" defaultRowHeight="15" x14ac:dyDescent="0.25"/>
  <cols>
    <col min="1" max="1" width="30.7109375" style="1" customWidth="1"/>
    <col min="2" max="8" width="26.28515625" customWidth="1"/>
  </cols>
  <sheetData>
    <row r="3" spans="1:8" s="11" customFormat="1" ht="30.75" customHeight="1" x14ac:dyDescent="0.25">
      <c r="A3" s="3"/>
      <c r="B3" s="3" t="str">
        <f>Overall!AT3</f>
        <v>WIOA Adult</v>
      </c>
      <c r="C3" s="3" t="str">
        <f>Overall!AU3</f>
        <v>WIOA Dislocated Worker</v>
      </c>
      <c r="D3" s="3" t="str">
        <f>Overall!AV3</f>
        <v>WIOA Youth</v>
      </c>
      <c r="E3" s="3" t="str">
        <f>Overall!AW3</f>
        <v>TRADE Adjustment Assistance</v>
      </c>
      <c r="F3" s="3" t="str">
        <f>Overall!AX3</f>
        <v>OET  Job Driven NEG Grant</v>
      </c>
      <c r="G3" s="3" t="str">
        <f>Overall!AY3</f>
        <v>OET Power Grant</v>
      </c>
      <c r="H3" s="2"/>
    </row>
    <row r="4" spans="1:8" s="10" customFormat="1" x14ac:dyDescent="0.25">
      <c r="A4" s="24" t="str">
        <f>Overall!A4</f>
        <v>Grant Award</v>
      </c>
      <c r="B4" s="4" t="str">
        <f>IF(ISBLANK(Overall!AT4),"", Overall!AT4)</f>
        <v/>
      </c>
      <c r="C4" s="4" t="str">
        <f>IF(ISBLANK(Overall!AU4),"", Overall!AU4)</f>
        <v/>
      </c>
      <c r="D4" s="4" t="str">
        <f>IF(ISBLANK(Overall!AV4),"", Overall!AV4)</f>
        <v/>
      </c>
      <c r="E4" s="4" t="str">
        <f>IF(ISBLANK(Overall!AW4),"", Overall!AW4)</f>
        <v/>
      </c>
      <c r="F4" s="4" t="str">
        <f>IF(ISBLANK(Overall!AX4),"", Overall!AX4)</f>
        <v/>
      </c>
      <c r="G4" s="4" t="str">
        <f>IF(ISBLANK(Overall!AY4),"", Overall!AY4)</f>
        <v/>
      </c>
    </row>
    <row r="5" spans="1:8" s="10" customFormat="1" x14ac:dyDescent="0.25">
      <c r="A5" s="24" t="str">
        <f>Overall!A5</f>
        <v>Local Funds (Match or applied)</v>
      </c>
      <c r="B5" s="4" t="str">
        <f>IF(ISBLANK(Overall!AT5),"", Overall!AT5)</f>
        <v/>
      </c>
      <c r="C5" s="4" t="str">
        <f>IF(ISBLANK(Overall!AU5),"", Overall!AU5)</f>
        <v/>
      </c>
      <c r="D5" s="4" t="str">
        <f>IF(ISBLANK(Overall!AV5),"", Overall!AV5)</f>
        <v/>
      </c>
      <c r="E5" s="4" t="str">
        <f>IF(ISBLANK(Overall!AW5),"", Overall!AW5)</f>
        <v/>
      </c>
      <c r="F5" s="4" t="str">
        <f>IF(ISBLANK(Overall!AX5),"", Overall!AX5)</f>
        <v/>
      </c>
      <c r="G5" s="4" t="str">
        <f>IF(ISBLANK(Overall!AY5),"", Overall!AY5)</f>
        <v/>
      </c>
    </row>
    <row r="6" spans="1:8" s="10" customFormat="1" x14ac:dyDescent="0.25">
      <c r="A6" s="24" t="str">
        <f>Overall!A6</f>
        <v>Total Grant Funds</v>
      </c>
      <c r="B6" s="4">
        <f>IF(ISBLANK(Overall!AT6),"", Overall!AT6)</f>
        <v>0</v>
      </c>
      <c r="C6" s="4">
        <f>IF(ISBLANK(Overall!AU6),"", Overall!AU6)</f>
        <v>0</v>
      </c>
      <c r="D6" s="4">
        <f>IF(ISBLANK(Overall!AV6),"", Overall!AV6)</f>
        <v>0</v>
      </c>
      <c r="E6" s="4">
        <f>IF(ISBLANK(Overall!AW6),"", Overall!AW6)</f>
        <v>0</v>
      </c>
      <c r="F6" s="4">
        <f>IF(ISBLANK(Overall!AX6),"", Overall!AX6)</f>
        <v>0</v>
      </c>
      <c r="G6" s="4">
        <f>IF(ISBLANK(Overall!AY6),"", Overall!AY6)</f>
        <v>0</v>
      </c>
    </row>
    <row r="7" spans="1:8" s="10" customFormat="1" x14ac:dyDescent="0.25">
      <c r="A7" s="24" t="str">
        <f>Overall!A7</f>
        <v>Administrative Costs</v>
      </c>
      <c r="B7" s="4" t="str">
        <f>IF(ISBLANK(Overall!AT7),"", Overall!AT7)</f>
        <v/>
      </c>
      <c r="C7" s="4" t="str">
        <f>IF(ISBLANK(Overall!AU7),"", Overall!AU7)</f>
        <v/>
      </c>
      <c r="D7" s="4" t="str">
        <f>IF(ISBLANK(Overall!AV7),"", Overall!AV7)</f>
        <v/>
      </c>
      <c r="E7" s="4" t="str">
        <f>IF(ISBLANK(Overall!AW7),"", Overall!AW7)</f>
        <v/>
      </c>
      <c r="F7" s="4" t="str">
        <f>IF(ISBLANK(Overall!AX7),"", Overall!AX7)</f>
        <v/>
      </c>
      <c r="G7" s="4" t="str">
        <f>IF(ISBLANK(Overall!AY7),"", Overall!AY7)</f>
        <v/>
      </c>
    </row>
    <row r="8" spans="1:8" s="23" customFormat="1" x14ac:dyDescent="0.25">
      <c r="A8" s="24" t="str">
        <f>Overall!A8</f>
        <v>% of Admin Cost</v>
      </c>
      <c r="B8" s="26" t="e">
        <f>IF(ISBLANK(Overall!AT8),"", Overall!AT8)</f>
        <v>#DIV/0!</v>
      </c>
      <c r="C8" s="26" t="e">
        <f>IF(ISBLANK(Overall!AU8),"", Overall!AU8)</f>
        <v>#DIV/0!</v>
      </c>
      <c r="D8" s="26" t="e">
        <f>IF(ISBLANK(Overall!AV8),"", Overall!AV8)</f>
        <v>#DIV/0!</v>
      </c>
      <c r="E8" s="26" t="e">
        <f>IF(ISBLANK(Overall!AW8),"", Overall!AW8)</f>
        <v>#DIV/0!</v>
      </c>
      <c r="F8" s="26" t="e">
        <f>IF(ISBLANK(Overall!AX8),"", Overall!AX8)</f>
        <v>#DIV/0!</v>
      </c>
      <c r="G8" s="26" t="e">
        <f>IF(ISBLANK(Overall!AY8),"", Overall!AY8)</f>
        <v>#DIV/0!</v>
      </c>
    </row>
    <row r="9" spans="1:8" s="10" customFormat="1" x14ac:dyDescent="0.25">
      <c r="A9" s="24" t="str">
        <f>Overall!A9</f>
        <v>Direct Expenditures</v>
      </c>
      <c r="B9" s="4" t="str">
        <f>IF(ISBLANK(Overall!AT9),"", Overall!AT9)</f>
        <v/>
      </c>
      <c r="C9" s="4" t="str">
        <f>IF(ISBLANK(Overall!AU9),"", Overall!AU9)</f>
        <v/>
      </c>
      <c r="D9" s="4" t="str">
        <f>IF(ISBLANK(Overall!AV9),"", Overall!AV9)</f>
        <v/>
      </c>
      <c r="E9" s="4" t="str">
        <f>IF(ISBLANK(Overall!AW9),"", Overall!AW9)</f>
        <v/>
      </c>
      <c r="F9" s="4" t="str">
        <f>IF(ISBLANK(Overall!AX9),"", Overall!AX9)</f>
        <v/>
      </c>
      <c r="G9" s="4" t="str">
        <f>IF(ISBLANK(Overall!AY9),"", Overall!AY9)</f>
        <v/>
      </c>
    </row>
    <row r="10" spans="1:8" s="23" customFormat="1" x14ac:dyDescent="0.25">
      <c r="A10" s="24" t="str">
        <f>Overall!A10</f>
        <v>% of Direct Expenditures</v>
      </c>
      <c r="B10" s="26" t="e">
        <f>IF(ISBLANK(Overall!AT10),"", Overall!AT10)</f>
        <v>#DIV/0!</v>
      </c>
      <c r="C10" s="26" t="e">
        <f>IF(ISBLANK(Overall!AU10),"", Overall!AU10)</f>
        <v>#DIV/0!</v>
      </c>
      <c r="D10" s="26" t="e">
        <f>IF(ISBLANK(Overall!AV10),"", Overall!AV10)</f>
        <v>#DIV/0!</v>
      </c>
      <c r="E10" s="26" t="e">
        <f>IF(ISBLANK(Overall!AW10),"", Overall!AW10)</f>
        <v>#DIV/0!</v>
      </c>
      <c r="F10" s="26" t="e">
        <f>IF(ISBLANK(Overall!AX10),"", Overall!AX10)</f>
        <v>#DIV/0!</v>
      </c>
      <c r="G10" s="26" t="e">
        <f>IF(ISBLANK(Overall!AY10),"", Overall!AY10)</f>
        <v>#DIV/0!</v>
      </c>
    </row>
    <row r="11" spans="1:8" s="10" customFormat="1" x14ac:dyDescent="0.25">
      <c r="A11" s="24" t="str">
        <f>Overall!A11</f>
        <v>Indirect Expenditures</v>
      </c>
      <c r="B11" s="4" t="str">
        <f>IF(ISBLANK(Overall!AT11),"", Overall!AT11)</f>
        <v/>
      </c>
      <c r="C11" s="4" t="str">
        <f>IF(ISBLANK(Overall!AU11),"", Overall!AU11)</f>
        <v/>
      </c>
      <c r="D11" s="4" t="str">
        <f>IF(ISBLANK(Overall!AV11),"", Overall!AV11)</f>
        <v/>
      </c>
      <c r="E11" s="4" t="str">
        <f>IF(ISBLANK(Overall!AW11),"", Overall!AW11)</f>
        <v/>
      </c>
      <c r="F11" s="4" t="str">
        <f>IF(ISBLANK(Overall!AX11),"", Overall!AX11)</f>
        <v/>
      </c>
      <c r="G11" s="4" t="str">
        <f>IF(ISBLANK(Overall!AY11),"", Overall!AY11)</f>
        <v/>
      </c>
    </row>
    <row r="12" spans="1:8" s="23" customFormat="1" x14ac:dyDescent="0.25">
      <c r="A12" s="24" t="str">
        <f>Overall!A12</f>
        <v>% of Indirect Expenditures</v>
      </c>
      <c r="B12" s="26" t="e">
        <f>IF(ISBLANK(Overall!AT12),"", Overall!AT12)</f>
        <v>#DIV/0!</v>
      </c>
      <c r="C12" s="26" t="e">
        <f>IF(ISBLANK(Overall!AU12),"", Overall!AU12)</f>
        <v>#DIV/0!</v>
      </c>
      <c r="D12" s="26" t="e">
        <f>IF(ISBLANK(Overall!AV12),"", Overall!AV12)</f>
        <v>#DIV/0!</v>
      </c>
      <c r="E12" s="26" t="e">
        <f>IF(ISBLANK(Overall!AW12),"", Overall!AW12)</f>
        <v>#DIV/0!</v>
      </c>
      <c r="F12" s="26" t="e">
        <f>IF(ISBLANK(Overall!AX12),"", Overall!AX12)</f>
        <v>#DIV/0!</v>
      </c>
      <c r="G12" s="26" t="e">
        <f>IF(ISBLANK(Overall!AY12),"", Overall!AY12)</f>
        <v>#DIV/0!</v>
      </c>
    </row>
    <row r="13" spans="1:8" s="10" customFormat="1" x14ac:dyDescent="0.25">
      <c r="A13" s="24" t="str">
        <f>Overall!A13</f>
        <v>Unexpended Funds</v>
      </c>
      <c r="B13" s="4">
        <f>IF(ISBLANK(Overall!AT13),"", Overall!AT13)</f>
        <v>0</v>
      </c>
      <c r="C13" s="4">
        <f>IF(ISBLANK(Overall!AU13),"", Overall!AU13)</f>
        <v>0</v>
      </c>
      <c r="D13" s="4">
        <f>IF(ISBLANK(Overall!AV13),"", Overall!AV13)</f>
        <v>0</v>
      </c>
      <c r="E13" s="4">
        <f>IF(ISBLANK(Overall!AW13),"", Overall!AW13)</f>
        <v>0</v>
      </c>
      <c r="F13" s="4">
        <f>IF(ISBLANK(Overall!AX13),"", Overall!AX13)</f>
        <v>0</v>
      </c>
      <c r="G13" s="4">
        <f>IF(ISBLANK(Overall!AY13),"", Overall!AY13)</f>
        <v>0</v>
      </c>
    </row>
    <row r="14" spans="1:8" ht="30" x14ac:dyDescent="0.25">
      <c r="A14" s="24" t="str">
        <f>Overall!A14</f>
        <v>Explanation of Unexpended Funds</v>
      </c>
      <c r="B14" s="3" t="str">
        <f>IF(ISBLANK(Overall!AT14),"", Overall!AT14)</f>
        <v>Multi-year Obligated Funds</v>
      </c>
      <c r="C14" s="3" t="str">
        <f>IF(ISBLANK(Overall!AU14),"", Overall!AU14)</f>
        <v>Multi-year Obligated Funds</v>
      </c>
      <c r="D14" s="3" t="str">
        <f>IF(ISBLANK(Overall!AV14),"", Overall!AV14)</f>
        <v>Multi-year Obligated Funds</v>
      </c>
      <c r="E14" s="3" t="str">
        <f>IF(ISBLANK(Overall!AW14),"", Overall!AW14)</f>
        <v>Multi-year Obligated Funds</v>
      </c>
      <c r="F14" s="3" t="str">
        <f>IF(ISBLANK(Overall!AX14),"", Overall!AX14)</f>
        <v>Multi-year Obligated Funds</v>
      </c>
      <c r="G14" s="3" t="str">
        <f>IF(ISBLANK(Overall!AY14),"", Overall!AY14)</f>
        <v>Multi-year Obligated Funds</v>
      </c>
    </row>
    <row r="15" spans="1:8" x14ac:dyDescent="0.25">
      <c r="B15" s="2"/>
      <c r="C15" s="2"/>
      <c r="D15" s="2"/>
      <c r="E15" s="2"/>
      <c r="F15" s="2"/>
      <c r="G15" s="2"/>
    </row>
    <row r="16" spans="1:8" ht="30" x14ac:dyDescent="0.25">
      <c r="A16" s="5" t="str">
        <f>Overall!A16</f>
        <v>List of Direct Services provided by ADD</v>
      </c>
      <c r="B16" s="3" t="str">
        <f>IF(ISBLANK(Overall!AT16),"", Overall!AT16)</f>
        <v/>
      </c>
      <c r="C16" s="3" t="str">
        <f>IF(ISBLANK(Overall!AU16),"", Overall!AU16)</f>
        <v/>
      </c>
      <c r="D16" s="3" t="str">
        <f>IF(ISBLANK(Overall!AV16),"", Overall!AV16)</f>
        <v/>
      </c>
      <c r="E16" s="3" t="str">
        <f>IF(ISBLANK(Overall!AW16),"", Overall!AW16)</f>
        <v/>
      </c>
      <c r="F16" s="3" t="str">
        <f>IF(ISBLANK(Overall!AX16),"", Overall!AX16)</f>
        <v/>
      </c>
      <c r="G16" s="3" t="str">
        <f>IF(ISBLANK(Overall!AY16),"", Overall!AY16)</f>
        <v/>
      </c>
    </row>
    <row r="17" spans="1:7" x14ac:dyDescent="0.25">
      <c r="B17" s="2"/>
      <c r="C17" s="2"/>
      <c r="D17" s="2"/>
      <c r="E17" s="2"/>
      <c r="F17" s="2"/>
      <c r="G17" s="2"/>
    </row>
    <row r="18" spans="1:7" x14ac:dyDescent="0.25">
      <c r="A18" s="40" t="str">
        <f>Overall!A18</f>
        <v>Direct Service Providers/Contractors Contracted by ADD and services provided</v>
      </c>
      <c r="B18" s="3" t="str">
        <f>IF(ISBLANK(Overall!AT18),"", Overall!AT18)</f>
        <v/>
      </c>
      <c r="C18" s="3" t="str">
        <f>IF(ISBLANK(Overall!AU18),"", Overall!AU18)</f>
        <v/>
      </c>
      <c r="D18" s="3" t="str">
        <f>IF(ISBLANK(Overall!AV18),"", Overall!AV18)</f>
        <v/>
      </c>
      <c r="E18" s="3" t="str">
        <f>IF(ISBLANK(Overall!AW18),"", Overall!AW18)</f>
        <v/>
      </c>
      <c r="F18" s="3" t="str">
        <f>IF(ISBLANK(Overall!AX18),"", Overall!AX18)</f>
        <v/>
      </c>
      <c r="G18" s="3" t="str">
        <f>IF(ISBLANK(Overall!AY18),"", Overall!AY18)</f>
        <v/>
      </c>
    </row>
    <row r="19" spans="1:7" x14ac:dyDescent="0.25">
      <c r="A19" s="40"/>
      <c r="B19" s="3" t="str">
        <f>IF(ISBLANK(Overall!AT19),"", Overall!AT19)</f>
        <v/>
      </c>
      <c r="C19" s="3" t="str">
        <f>IF(ISBLANK(Overall!AU19),"", Overall!AU19)</f>
        <v/>
      </c>
      <c r="D19" s="3" t="str">
        <f>IF(ISBLANK(Overall!AV19),"", Overall!AV19)</f>
        <v/>
      </c>
      <c r="E19" s="3" t="str">
        <f>IF(ISBLANK(Overall!AW19),"", Overall!AW19)</f>
        <v/>
      </c>
      <c r="F19" s="3" t="str">
        <f>IF(ISBLANK(Overall!AX19),"", Overall!AX19)</f>
        <v/>
      </c>
      <c r="G19" s="3" t="str">
        <f>IF(ISBLANK(Overall!AY19),"", Overall!AY19)</f>
        <v/>
      </c>
    </row>
    <row r="20" spans="1:7" x14ac:dyDescent="0.25">
      <c r="A20" s="40"/>
      <c r="B20" s="3" t="str">
        <f>IF(ISBLANK(Overall!AT20),"", Overall!AT20)</f>
        <v/>
      </c>
      <c r="C20" s="3" t="str">
        <f>IF(ISBLANK(Overall!AU20),"", Overall!AU20)</f>
        <v/>
      </c>
      <c r="D20" s="3" t="str">
        <f>IF(ISBLANK(Overall!AV20),"", Overall!AV20)</f>
        <v/>
      </c>
      <c r="E20" s="3" t="str">
        <f>IF(ISBLANK(Overall!AW20),"", Overall!AW20)</f>
        <v/>
      </c>
      <c r="F20" s="3" t="str">
        <f>IF(ISBLANK(Overall!AX20),"", Overall!AX20)</f>
        <v/>
      </c>
      <c r="G20" s="3" t="str">
        <f>IF(ISBLANK(Overall!AY20),"", Overall!AY20)</f>
        <v/>
      </c>
    </row>
    <row r="21" spans="1:7" x14ac:dyDescent="0.25">
      <c r="A21" s="40"/>
      <c r="B21" s="3" t="str">
        <f>IF(ISBLANK(Overall!AT21),"", Overall!AT21)</f>
        <v/>
      </c>
      <c r="C21" s="3" t="str">
        <f>IF(ISBLANK(Overall!AU21),"", Overall!AU21)</f>
        <v/>
      </c>
      <c r="D21" s="3" t="str">
        <f>IF(ISBLANK(Overall!AV21),"", Overall!AV21)</f>
        <v/>
      </c>
      <c r="E21" s="3" t="str">
        <f>IF(ISBLANK(Overall!AW21),"", Overall!AW21)</f>
        <v/>
      </c>
      <c r="F21" s="3" t="str">
        <f>IF(ISBLANK(Overall!AX21),"", Overall!AX21)</f>
        <v/>
      </c>
      <c r="G21" s="3" t="str">
        <f>IF(ISBLANK(Overall!AY21),"", Overall!AY21)</f>
        <v/>
      </c>
    </row>
    <row r="22" spans="1:7" x14ac:dyDescent="0.25">
      <c r="A22" s="40"/>
      <c r="B22" s="3" t="e">
        <f>IF(ISBLANK(Overall!#REF!),"", Overall!#REF!)</f>
        <v>#REF!</v>
      </c>
      <c r="C22" s="3" t="e">
        <f>IF(ISBLANK(Overall!#REF!),"", Overall!#REF!)</f>
        <v>#REF!</v>
      </c>
      <c r="D22" s="3" t="e">
        <f>IF(ISBLANK(Overall!#REF!),"", Overall!#REF!)</f>
        <v>#REF!</v>
      </c>
      <c r="E22" s="3" t="e">
        <f>IF(ISBLANK(Overall!#REF!),"", Overall!#REF!)</f>
        <v>#REF!</v>
      </c>
      <c r="F22" s="3" t="e">
        <f>IF(ISBLANK(Overall!#REF!),"", Overall!#REF!)</f>
        <v>#REF!</v>
      </c>
      <c r="G22" s="3" t="e">
        <f>IF(ISBLANK(Overall!#REF!),"", Overall!#REF!)</f>
        <v>#REF!</v>
      </c>
    </row>
    <row r="23" spans="1:7" x14ac:dyDescent="0.25">
      <c r="A23" s="9"/>
      <c r="B23" s="2"/>
      <c r="C23" s="2"/>
      <c r="D23" s="2"/>
      <c r="E23" s="2"/>
      <c r="F23" s="2"/>
      <c r="G23" s="2"/>
    </row>
    <row r="24" spans="1:7" x14ac:dyDescent="0.25">
      <c r="A24" s="5" t="str">
        <f>Overall!A25</f>
        <v>Career Center Operators</v>
      </c>
      <c r="B24" s="3" t="str">
        <f>IF(ISBLANK(Overall!AT25),"", Overall!AT25)</f>
        <v/>
      </c>
      <c r="C24" s="3" t="str">
        <f>IF(ISBLANK(Overall!AU25),"", Overall!AU25)</f>
        <v/>
      </c>
      <c r="D24" s="3" t="str">
        <f>IF(ISBLANK(Overall!AV25),"", Overall!AV25)</f>
        <v/>
      </c>
      <c r="E24" s="3" t="str">
        <f>IF(ISBLANK(Overall!AW25),"", Overall!AW25)</f>
        <v/>
      </c>
      <c r="F24" s="3" t="str">
        <f>IF(ISBLANK(Overall!AX25),"", Overall!AX25)</f>
        <v/>
      </c>
      <c r="G24" s="3" t="str">
        <f>IF(ISBLANK(Overall!AY25),"", Overall!AY25)</f>
        <v/>
      </c>
    </row>
    <row r="25" spans="1:7" ht="12.75" customHeight="1" x14ac:dyDescent="0.25">
      <c r="A25" s="9"/>
      <c r="B25" s="2"/>
      <c r="C25" s="2"/>
      <c r="D25" s="2"/>
      <c r="E25" s="2"/>
      <c r="F25" s="2"/>
      <c r="G25" s="2"/>
    </row>
    <row r="26" spans="1:7" ht="12.75" customHeight="1" x14ac:dyDescent="0.25">
      <c r="A26" s="40" t="str">
        <f>Overall!A27</f>
        <v>Training Service Providers and services provided</v>
      </c>
      <c r="B26" s="3" t="str">
        <f>IF(ISBLANK(Overall!AT27),"", Overall!AT27)</f>
        <v/>
      </c>
      <c r="C26" s="3" t="str">
        <f>IF(ISBLANK(Overall!AU27),"", Overall!AU27)</f>
        <v/>
      </c>
      <c r="D26" s="3" t="str">
        <f>IF(ISBLANK(Overall!AV27),"", Overall!AV27)</f>
        <v/>
      </c>
      <c r="E26" s="3" t="str">
        <f>IF(ISBLANK(Overall!AW27),"", Overall!AW27)</f>
        <v/>
      </c>
      <c r="F26" s="3" t="str">
        <f>IF(ISBLANK(Overall!AX27),"", Overall!AX27)</f>
        <v/>
      </c>
      <c r="G26" s="3" t="str">
        <f>IF(ISBLANK(Overall!AY27),"", Overall!AY27)</f>
        <v/>
      </c>
    </row>
    <row r="27" spans="1:7" ht="12.75" customHeight="1" x14ac:dyDescent="0.25">
      <c r="A27" s="40"/>
      <c r="B27" s="3" t="str">
        <f>IF(ISBLANK(Overall!AT28),"", Overall!AT28)</f>
        <v/>
      </c>
      <c r="C27" s="3" t="str">
        <f>IF(ISBLANK(Overall!AU28),"", Overall!AU28)</f>
        <v/>
      </c>
      <c r="D27" s="3" t="str">
        <f>IF(ISBLANK(Overall!AV28),"", Overall!AV28)</f>
        <v/>
      </c>
      <c r="E27" s="3" t="str">
        <f>IF(ISBLANK(Overall!AW28),"", Overall!AW28)</f>
        <v/>
      </c>
      <c r="F27" s="3" t="str">
        <f>IF(ISBLANK(Overall!AX28),"", Overall!AX28)</f>
        <v/>
      </c>
      <c r="G27" s="3" t="str">
        <f>IF(ISBLANK(Overall!AY28),"", Overall!AY28)</f>
        <v/>
      </c>
    </row>
    <row r="28" spans="1:7" ht="12.75" customHeight="1" x14ac:dyDescent="0.25">
      <c r="A28" s="40"/>
      <c r="B28" s="3" t="str">
        <f>IF(ISBLANK(Overall!AT29),"", Overall!AT29)</f>
        <v/>
      </c>
      <c r="C28" s="3" t="str">
        <f>IF(ISBLANK(Overall!AU29),"", Overall!AU29)</f>
        <v/>
      </c>
      <c r="D28" s="3" t="str">
        <f>IF(ISBLANK(Overall!AV29),"", Overall!AV29)</f>
        <v/>
      </c>
      <c r="E28" s="3" t="str">
        <f>IF(ISBLANK(Overall!AW29),"", Overall!AW29)</f>
        <v/>
      </c>
      <c r="F28" s="3" t="str">
        <f>IF(ISBLANK(Overall!AX29),"", Overall!AX29)</f>
        <v/>
      </c>
      <c r="G28" s="3" t="str">
        <f>IF(ISBLANK(Overall!AY29),"", Overall!AY29)</f>
        <v/>
      </c>
    </row>
    <row r="29" spans="1:7" ht="12.75" customHeight="1" x14ac:dyDescent="0.25">
      <c r="A29" s="40"/>
      <c r="B29" s="3" t="str">
        <f>IF(ISBLANK(Overall!AT30),"", Overall!AT30)</f>
        <v/>
      </c>
      <c r="C29" s="3" t="str">
        <f>IF(ISBLANK(Overall!AU30),"", Overall!AU30)</f>
        <v/>
      </c>
      <c r="D29" s="3" t="str">
        <f>IF(ISBLANK(Overall!AV30),"", Overall!AV30)</f>
        <v/>
      </c>
      <c r="E29" s="3" t="str">
        <f>IF(ISBLANK(Overall!AW30),"", Overall!AW30)</f>
        <v/>
      </c>
      <c r="F29" s="3" t="str">
        <f>IF(ISBLANK(Overall!AX30),"", Overall!AX30)</f>
        <v/>
      </c>
      <c r="G29" s="3" t="str">
        <f>IF(ISBLANK(Overall!AY30),"", Overall!AY30)</f>
        <v/>
      </c>
    </row>
    <row r="30" spans="1:7" ht="12.75" customHeight="1" x14ac:dyDescent="0.25">
      <c r="A30" s="40"/>
      <c r="B30" s="3" t="str">
        <f>IF(ISBLANK(Overall!AT31),"", Overall!AT31)</f>
        <v/>
      </c>
      <c r="C30" s="3" t="str">
        <f>IF(ISBLANK(Overall!AU31),"", Overall!AU31)</f>
        <v/>
      </c>
      <c r="D30" s="3" t="str">
        <f>IF(ISBLANK(Overall!AV31),"", Overall!AV31)</f>
        <v/>
      </c>
      <c r="E30" s="3" t="str">
        <f>IF(ISBLANK(Overall!AW31),"", Overall!AW31)</f>
        <v/>
      </c>
      <c r="F30" s="3" t="str">
        <f>IF(ISBLANK(Overall!AX31),"", Overall!AX31)</f>
        <v/>
      </c>
      <c r="G30" s="3" t="str">
        <f>IF(ISBLANK(Overall!AY31),"", Overall!AY31)</f>
        <v/>
      </c>
    </row>
    <row r="31" spans="1:7" ht="12.75" customHeight="1" x14ac:dyDescent="0.25">
      <c r="A31" s="9"/>
      <c r="B31" s="2"/>
      <c r="C31" s="2"/>
      <c r="D31" s="2"/>
      <c r="E31" s="2"/>
      <c r="F31" s="2"/>
      <c r="G31" s="2"/>
    </row>
    <row r="32" spans="1:7" x14ac:dyDescent="0.25">
      <c r="A32" s="5" t="str">
        <f>Overall!A33</f>
        <v>Eligible Persons</v>
      </c>
      <c r="B32" s="3" t="str">
        <f>IF(ISBLANK(Overall!AT33),"", Overall!AT33)</f>
        <v/>
      </c>
      <c r="C32" s="3" t="str">
        <f>IF(ISBLANK(Overall!AU33),"", Overall!AU33)</f>
        <v/>
      </c>
      <c r="D32" s="3" t="str">
        <f>IF(ISBLANK(Overall!AV33),"", Overall!AV33)</f>
        <v/>
      </c>
      <c r="E32" s="3" t="str">
        <f>IF(ISBLANK(Overall!AW33),"", Overall!AW33)</f>
        <v/>
      </c>
      <c r="F32" s="3" t="str">
        <f>IF(ISBLANK(Overall!AX33),"", Overall!AX33)</f>
        <v/>
      </c>
      <c r="G32" s="3" t="str">
        <f>IF(ISBLANK(Overall!AY33),"", Overall!AY33)</f>
        <v/>
      </c>
    </row>
    <row r="33" spans="1:7" x14ac:dyDescent="0.25">
      <c r="A33" s="5" t="str">
        <f>Overall!A34</f>
        <v># Persons Served</v>
      </c>
      <c r="B33" s="3" t="str">
        <f>IF(ISBLANK(Overall!AT34),"", Overall!AT34)</f>
        <v/>
      </c>
      <c r="C33" s="3" t="str">
        <f>IF(ISBLANK(Overall!AU34),"", Overall!AU34)</f>
        <v/>
      </c>
      <c r="D33" s="3" t="str">
        <f>IF(ISBLANK(Overall!AV34),"", Overall!AV34)</f>
        <v/>
      </c>
      <c r="E33" s="3" t="str">
        <f>IF(ISBLANK(Overall!AW34),"", Overall!AW34)</f>
        <v/>
      </c>
      <c r="F33" s="3" t="str">
        <f>IF(ISBLANK(Overall!AX34),"", Overall!AX34)</f>
        <v/>
      </c>
      <c r="G33" s="3" t="str">
        <f>IF(ISBLANK(Overall!AY34),"", Overall!AY34)</f>
        <v/>
      </c>
    </row>
    <row r="34" spans="1:7" x14ac:dyDescent="0.25">
      <c r="A34" s="5" t="str">
        <f>Overall!A35</f>
        <v># People on Waiting List</v>
      </c>
      <c r="B34" s="3" t="str">
        <f>IF(ISBLANK(Overall!AT35),"", Overall!AT35)</f>
        <v/>
      </c>
      <c r="C34" s="3" t="str">
        <f>IF(ISBLANK(Overall!AU35),"", Overall!AU35)</f>
        <v/>
      </c>
      <c r="D34" s="3" t="str">
        <f>IF(ISBLANK(Overall!AV35),"", Overall!AV35)</f>
        <v/>
      </c>
      <c r="E34" s="3" t="str">
        <f>IF(ISBLANK(Overall!AW35),"", Overall!AW35)</f>
        <v/>
      </c>
      <c r="F34" s="3" t="str">
        <f>IF(ISBLANK(Overall!AX35),"", Overall!AX35)</f>
        <v/>
      </c>
      <c r="G34" s="3" t="str">
        <f>IF(ISBLANK(Overall!AY35),"", Overall!AY35)</f>
        <v/>
      </c>
    </row>
    <row r="35" spans="1:7" x14ac:dyDescent="0.25">
      <c r="B35" s="2"/>
      <c r="C35" s="2"/>
      <c r="D35" s="2"/>
      <c r="E35" s="2"/>
      <c r="F35" s="2"/>
      <c r="G35" s="2"/>
    </row>
    <row r="36" spans="1:7" ht="24" customHeight="1" x14ac:dyDescent="0.25">
      <c r="A36" s="7" t="str">
        <f>Overall!A37</f>
        <v>Performance Measures</v>
      </c>
      <c r="B36" s="3" t="str">
        <f>IF(ISBLANK(Overall!AT37),"", Overall!AT37)</f>
        <v>See Master Performance Measure Binder</v>
      </c>
      <c r="C36" s="3" t="str">
        <f>IF(ISBLANK(Overall!AU37),"", Overall!AU37)</f>
        <v>See Master Performance Measure Binder</v>
      </c>
      <c r="D36" s="3" t="str">
        <f>IF(ISBLANK(Overall!AV37),"", Overall!AV37)</f>
        <v>See Master Performance Measure Binder</v>
      </c>
      <c r="E36" s="3" t="str">
        <f>IF(ISBLANK(Overall!AW37),"", Overall!AW37)</f>
        <v>See Master Performance Measure Binder</v>
      </c>
      <c r="F36" s="3" t="str">
        <f>IF(ISBLANK(Overall!AX37),"", Overall!AX37)</f>
        <v>See Master Performance Measure Binder</v>
      </c>
      <c r="G36" s="3" t="str">
        <f>IF(ISBLANK(Overall!AY37),"", Overall!AY37)</f>
        <v>See Master Performance Measure Binder</v>
      </c>
    </row>
  </sheetData>
  <mergeCells count="2">
    <mergeCell ref="A18:A22"/>
    <mergeCell ref="A26:A30"/>
  </mergeCells>
  <pageMargins left="0.25" right="0.25" top="0.75" bottom="0.75" header="0.3" footer="0.3"/>
  <pageSetup fitToWidth="0" orientation="landscape"/>
  <headerFooter>
    <oddHeader>&amp;CPennyrile Area Development District
Workforce Investment and Opportunity Act Funds
FY 2017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"/>
  <sheetViews>
    <sheetView workbookViewId="0">
      <selection activeCell="A30" sqref="A30"/>
    </sheetView>
  </sheetViews>
  <sheetFormatPr defaultColWidth="8.85546875" defaultRowHeight="15" x14ac:dyDescent="0.25"/>
  <cols>
    <col min="1" max="1" width="39.42578125" bestFit="1" customWidth="1"/>
    <col min="2" max="2" width="2.42578125" customWidth="1"/>
    <col min="3" max="3" width="13.42578125" bestFit="1" customWidth="1"/>
    <col min="4" max="4" width="2.42578125" customWidth="1"/>
    <col min="5" max="5" width="63.28515625" bestFit="1" customWidth="1"/>
    <col min="11" max="11" width="7.28515625" customWidth="1"/>
  </cols>
  <sheetData>
    <row r="1" spans="1:11" x14ac:dyDescent="0.25">
      <c r="A1" s="54" t="s">
        <v>83</v>
      </c>
      <c r="B1" s="54"/>
      <c r="C1" s="54"/>
      <c r="D1" s="54"/>
      <c r="E1" s="54"/>
    </row>
    <row r="3" spans="1:11" x14ac:dyDescent="0.25">
      <c r="A3" s="12" t="s">
        <v>31</v>
      </c>
      <c r="B3" s="12"/>
      <c r="C3" s="10"/>
      <c r="D3" s="10"/>
    </row>
    <row r="5" spans="1:11" x14ac:dyDescent="0.25">
      <c r="A5" s="12" t="s">
        <v>32</v>
      </c>
      <c r="B5" s="12"/>
      <c r="C5" s="12" t="s">
        <v>38</v>
      </c>
      <c r="D5" s="12"/>
      <c r="E5" s="12" t="s">
        <v>36</v>
      </c>
    </row>
    <row r="6" spans="1:11" x14ac:dyDescent="0.25">
      <c r="A6" s="7" t="s">
        <v>26</v>
      </c>
      <c r="B6" s="15"/>
      <c r="C6" s="18"/>
      <c r="D6" s="19"/>
      <c r="E6" s="7" t="s">
        <v>37</v>
      </c>
    </row>
    <row r="7" spans="1:11" x14ac:dyDescent="0.25">
      <c r="A7" s="7" t="s">
        <v>33</v>
      </c>
      <c r="B7" s="16"/>
      <c r="C7" s="18">
        <v>6241</v>
      </c>
      <c r="D7" s="20"/>
      <c r="E7" s="7" t="s">
        <v>37</v>
      </c>
    </row>
    <row r="8" spans="1:11" ht="15" customHeight="1" x14ac:dyDescent="0.25">
      <c r="A8" s="7" t="s">
        <v>34</v>
      </c>
      <c r="B8" s="16"/>
      <c r="C8" s="18"/>
      <c r="D8" s="20"/>
      <c r="E8" s="53" t="s">
        <v>39</v>
      </c>
      <c r="F8" s="1"/>
      <c r="G8" s="1"/>
      <c r="H8" s="1"/>
      <c r="I8" s="1"/>
      <c r="J8" s="1"/>
      <c r="K8" s="1"/>
    </row>
    <row r="9" spans="1:11" x14ac:dyDescent="0.25">
      <c r="A9" s="7" t="s">
        <v>35</v>
      </c>
      <c r="B9" s="16"/>
      <c r="C9" s="18">
        <f>13214</f>
        <v>13214</v>
      </c>
      <c r="D9" s="20"/>
      <c r="E9" s="53"/>
      <c r="F9" s="1"/>
      <c r="G9" s="1"/>
      <c r="H9" s="1"/>
      <c r="I9" s="1"/>
      <c r="J9" s="1"/>
      <c r="K9" s="1"/>
    </row>
    <row r="10" spans="1:11" x14ac:dyDescent="0.25">
      <c r="A10" s="55" t="s">
        <v>40</v>
      </c>
      <c r="B10" s="16"/>
      <c r="C10" s="18">
        <f>2633+6262+17699+858+15605</f>
        <v>43057</v>
      </c>
      <c r="D10" s="20"/>
      <c r="E10" s="53" t="s">
        <v>41</v>
      </c>
    </row>
    <row r="11" spans="1:11" x14ac:dyDescent="0.25">
      <c r="A11" s="55"/>
      <c r="B11" s="16"/>
      <c r="C11" s="18"/>
      <c r="D11" s="20"/>
      <c r="E11" s="53"/>
    </row>
    <row r="12" spans="1:11" ht="45" x14ac:dyDescent="0.25">
      <c r="A12" s="7"/>
      <c r="B12" s="17"/>
      <c r="C12" s="6">
        <v>-338072</v>
      </c>
      <c r="D12" s="21"/>
      <c r="E12" s="3" t="s">
        <v>60</v>
      </c>
    </row>
    <row r="13" spans="1:11" ht="15.75" thickBot="1" x14ac:dyDescent="0.3">
      <c r="C13" s="14">
        <f>SUM(C6:C12)</f>
        <v>-275560</v>
      </c>
      <c r="D13" s="13"/>
    </row>
    <row r="14" spans="1:11" ht="15.75" thickTop="1" x14ac:dyDescent="0.25"/>
  </sheetData>
  <mergeCells count="4">
    <mergeCell ref="E8:E9"/>
    <mergeCell ref="E10:E11"/>
    <mergeCell ref="A1:E1"/>
    <mergeCell ref="A10:A11"/>
  </mergeCells>
  <pageMargins left="0.7" right="0.7" top="0.75" bottom="0.75" header="0.3" footer="0.3"/>
  <pageSetup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workbookViewId="0">
      <selection activeCell="A5" sqref="A5:XFD5"/>
    </sheetView>
  </sheetViews>
  <sheetFormatPr defaultRowHeight="15" x14ac:dyDescent="0.25"/>
  <cols>
    <col min="1" max="1" width="12.140625" bestFit="1" customWidth="1"/>
  </cols>
  <sheetData>
    <row r="1" spans="1:10" ht="18.75" x14ac:dyDescent="0.3">
      <c r="A1" s="56" t="s">
        <v>83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8.75" x14ac:dyDescent="0.3">
      <c r="A2" s="56" t="s">
        <v>84</v>
      </c>
      <c r="B2" s="56"/>
      <c r="C2" s="56"/>
      <c r="D2" s="56"/>
      <c r="E2" s="56"/>
      <c r="F2" s="56"/>
      <c r="G2" s="56"/>
      <c r="H2" s="56"/>
      <c r="I2" s="56"/>
      <c r="J2" s="56"/>
    </row>
    <row r="4" spans="1:10" x14ac:dyDescent="0.25">
      <c r="A4" t="s">
        <v>12</v>
      </c>
      <c r="B4" t="s">
        <v>105</v>
      </c>
    </row>
    <row r="5" spans="1:10" x14ac:dyDescent="0.25">
      <c r="A5" t="s">
        <v>13</v>
      </c>
      <c r="B5" t="s">
        <v>85</v>
      </c>
    </row>
    <row r="6" spans="1:10" x14ac:dyDescent="0.25">
      <c r="A6" t="s">
        <v>14</v>
      </c>
      <c r="B6" t="s">
        <v>86</v>
      </c>
    </row>
    <row r="7" spans="1:10" x14ac:dyDescent="0.25">
      <c r="A7" t="s">
        <v>61</v>
      </c>
      <c r="B7" t="s">
        <v>87</v>
      </c>
    </row>
    <row r="8" spans="1:10" x14ac:dyDescent="0.25">
      <c r="A8" t="s">
        <v>15</v>
      </c>
      <c r="B8" t="s">
        <v>88</v>
      </c>
    </row>
    <row r="9" spans="1:10" x14ac:dyDescent="0.25">
      <c r="A9" t="s">
        <v>89</v>
      </c>
      <c r="B9" t="s">
        <v>90</v>
      </c>
    </row>
    <row r="10" spans="1:10" x14ac:dyDescent="0.25">
      <c r="A10" t="s">
        <v>62</v>
      </c>
      <c r="B10" t="s">
        <v>107</v>
      </c>
    </row>
    <row r="11" spans="1:10" x14ac:dyDescent="0.25">
      <c r="A11" t="s">
        <v>91</v>
      </c>
      <c r="B11" t="s">
        <v>92</v>
      </c>
    </row>
    <row r="12" spans="1:10" x14ac:dyDescent="0.25">
      <c r="A12" t="s">
        <v>18</v>
      </c>
      <c r="B12" t="s">
        <v>93</v>
      </c>
    </row>
    <row r="13" spans="1:10" x14ac:dyDescent="0.25">
      <c r="A13" t="s">
        <v>21</v>
      </c>
      <c r="B13" t="s">
        <v>94</v>
      </c>
    </row>
    <row r="14" spans="1:10" x14ac:dyDescent="0.25">
      <c r="A14" t="s">
        <v>95</v>
      </c>
      <c r="B14" t="s">
        <v>96</v>
      </c>
    </row>
    <row r="15" spans="1:10" x14ac:dyDescent="0.25">
      <c r="A15" t="s">
        <v>97</v>
      </c>
      <c r="B15" t="s">
        <v>98</v>
      </c>
    </row>
    <row r="16" spans="1:10" x14ac:dyDescent="0.25">
      <c r="A16" t="s">
        <v>99</v>
      </c>
      <c r="B16" t="s">
        <v>100</v>
      </c>
    </row>
    <row r="17" spans="1:2" x14ac:dyDescent="0.25">
      <c r="A17" t="s">
        <v>101</v>
      </c>
      <c r="B17" t="s">
        <v>102</v>
      </c>
    </row>
    <row r="18" spans="1:2" x14ac:dyDescent="0.25">
      <c r="A18" t="s">
        <v>103</v>
      </c>
      <c r="B18" t="s">
        <v>104</v>
      </c>
    </row>
  </sheetData>
  <mergeCells count="2">
    <mergeCell ref="A1:J1"/>
    <mergeCell ref="A2:J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Overall</vt:lpstr>
      <vt:lpstr>Aging</vt:lpstr>
      <vt:lpstr>Workforce</vt:lpstr>
      <vt:lpstr>Carryover (Reserves)</vt:lpstr>
      <vt:lpstr>Acronyn List</vt:lpstr>
      <vt:lpstr>Overall!Print_Area</vt:lpstr>
      <vt:lpstr>Aging!Print_Titles</vt:lpstr>
      <vt:lpstr>Overall!Print_Titles</vt:lpstr>
      <vt:lpstr>Workforce!Print_Titles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Alisha</dc:creator>
  <cp:lastModifiedBy>Coy, Janine (LRC)</cp:lastModifiedBy>
  <cp:lastPrinted>2020-01-17T17:38:00Z</cp:lastPrinted>
  <dcterms:created xsi:type="dcterms:W3CDTF">2017-11-26T03:23:39Z</dcterms:created>
  <dcterms:modified xsi:type="dcterms:W3CDTF">2025-01-02T13:58:07Z</dcterms:modified>
</cp:coreProperties>
</file>